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PublicWorks\Utilities\EP Stormwater\Land Development\SUSMPs &amp; Storm Water Design Manual\2019\DRAFT 1\Forms\"/>
    </mc:Choice>
  </mc:AlternateContent>
  <bookViews>
    <workbookView xWindow="0" yWindow="0" windowWidth="26865" windowHeight="11820"/>
  </bookViews>
  <sheets>
    <sheet name="Readme" sheetId="6" r:id="rId1"/>
    <sheet name="Worksheet B.5-1" sheetId="1" r:id="rId2"/>
    <sheet name="Worksheet B.5-2" sheetId="7" r:id="rId3"/>
    <sheet name="Worksheet B.5-3" sheetId="2" r:id="rId4"/>
    <sheet name="Worksheet B.5-4" sheetId="3" r:id="rId5"/>
    <sheet name="Worksheet B.5-5" sheetId="8" r:id="rId6"/>
    <sheet name="Worksheet B.5-6" sheetId="4" r:id="rId7"/>
    <sheet name="Worksheet B.5-7" sheetId="5" r:id="rId8"/>
  </sheets>
  <definedNames>
    <definedName name="_xlnm.Print_Area" localSheetId="0">Readme!$B$2:$D$16</definedName>
    <definedName name="_xlnm.Print_Area" localSheetId="1">'Worksheet B.5-1'!$B$2:$G$34</definedName>
    <definedName name="_xlnm.Print_Area" localSheetId="2">'Worksheet B.5-2'!$A$1:$H$19</definedName>
    <definedName name="_xlnm.Print_Area" localSheetId="3">'Worksheet B.5-3'!$A$1:$H$35</definedName>
    <definedName name="_xlnm.Print_Area" localSheetId="4">'Worksheet B.5-4'!$A$1:$I$39</definedName>
    <definedName name="_xlnm.Print_Area" localSheetId="5">'Worksheet B.5-5'!$A$1:$H$33</definedName>
    <definedName name="_xlnm.Print_Area" localSheetId="6">'Worksheet B.5-6'!$A$1:$M$35</definedName>
    <definedName name="_xlnm.Print_Area" localSheetId="7">'Worksheet B.5-7'!$A$1:$H$20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5" l="1"/>
  <c r="N26" i="5" s="1"/>
  <c r="F13" i="5"/>
  <c r="F8" i="5"/>
  <c r="F10" i="5" s="1"/>
  <c r="F7" i="5"/>
  <c r="I32" i="4"/>
  <c r="F7" i="8"/>
  <c r="F24" i="8" s="1"/>
  <c r="F28" i="8"/>
  <c r="F29" i="8" s="1"/>
  <c r="F16" i="8"/>
  <c r="D18" i="8" s="1"/>
  <c r="F21" i="8"/>
  <c r="F14" i="5" l="1"/>
  <c r="N27" i="5"/>
  <c r="F31" i="8"/>
  <c r="F12" i="7"/>
  <c r="F13" i="7" s="1"/>
  <c r="F15" i="7" s="1"/>
  <c r="F8" i="7"/>
  <c r="N17" i="5" l="1"/>
  <c r="N18" i="5" s="1"/>
  <c r="N19" i="5" s="1"/>
  <c r="BU17" i="5"/>
  <c r="CI17" i="5"/>
  <c r="BG17" i="5"/>
  <c r="AE17" i="5"/>
  <c r="AS17" i="5"/>
  <c r="N28" i="5"/>
  <c r="N29" i="5"/>
  <c r="F17" i="7"/>
  <c r="AE18" i="5" l="1"/>
  <c r="N20" i="5"/>
  <c r="AA17" i="5" s="1"/>
  <c r="S30" i="5" s="1"/>
  <c r="BG18" i="5"/>
  <c r="CI18" i="5"/>
  <c r="AS18" i="5"/>
  <c r="BU18" i="5"/>
  <c r="AB17" i="5"/>
  <c r="S31" i="5" s="1"/>
  <c r="X17" i="5"/>
  <c r="S27" i="5" s="1"/>
  <c r="L14" i="4"/>
  <c r="L16" i="4" s="1"/>
  <c r="K14" i="4"/>
  <c r="K16" i="4" s="1"/>
  <c r="H14" i="4"/>
  <c r="H16" i="4" s="1"/>
  <c r="F14" i="4"/>
  <c r="F16" i="4" s="1"/>
  <c r="E14" i="4"/>
  <c r="E16" i="4" s="1"/>
  <c r="Y17" i="5" l="1"/>
  <c r="S28" i="5" s="1"/>
  <c r="U17" i="5"/>
  <c r="S24" i="5" s="1"/>
  <c r="W17" i="5"/>
  <c r="S26" i="5" s="1"/>
  <c r="Z17" i="5"/>
  <c r="S29" i="5" s="1"/>
  <c r="V17" i="5"/>
  <c r="S25" i="5" s="1"/>
  <c r="CI20" i="5"/>
  <c r="CI19" i="5"/>
  <c r="BG20" i="5"/>
  <c r="BG19" i="5"/>
  <c r="BU19" i="5"/>
  <c r="BU20" i="5"/>
  <c r="AS19" i="5"/>
  <c r="AS20" i="5"/>
  <c r="AE19" i="5"/>
  <c r="AE20" i="5"/>
  <c r="S33" i="5"/>
  <c r="Q4" i="5" s="1"/>
  <c r="N6" i="5"/>
  <c r="CC17" i="5" l="1"/>
  <c r="W28" i="5" s="1"/>
  <c r="CQ17" i="5"/>
  <c r="X28" i="5" s="1"/>
  <c r="AO17" i="5"/>
  <c r="T30" i="5" s="1"/>
  <c r="CS17" i="5"/>
  <c r="X30" i="5" s="1"/>
  <c r="CA17" i="5"/>
  <c r="W26" i="5" s="1"/>
  <c r="CR17" i="5"/>
  <c r="X29" i="5" s="1"/>
  <c r="BD17" i="5"/>
  <c r="U31" i="5" s="1"/>
  <c r="AX17" i="5"/>
  <c r="U25" i="5" s="1"/>
  <c r="AW17" i="5"/>
  <c r="U24" i="5" s="1"/>
  <c r="AY17" i="5"/>
  <c r="U26" i="5" s="1"/>
  <c r="BB17" i="5"/>
  <c r="U29" i="5" s="1"/>
  <c r="AZ17" i="5"/>
  <c r="U27" i="5" s="1"/>
  <c r="AM17" i="5"/>
  <c r="T28" i="5" s="1"/>
  <c r="CO17" i="5"/>
  <c r="X26" i="5" s="1"/>
  <c r="BZ17" i="5"/>
  <c r="W25" i="5" s="1"/>
  <c r="CN17" i="5"/>
  <c r="X25" i="5" s="1"/>
  <c r="BQ17" i="5"/>
  <c r="V30" i="5" s="1"/>
  <c r="BO17" i="5"/>
  <c r="V28" i="5" s="1"/>
  <c r="BL17" i="5"/>
  <c r="V25" i="5" s="1"/>
  <c r="BK17" i="5"/>
  <c r="V24" i="5" s="1"/>
  <c r="BN17" i="5"/>
  <c r="V27" i="5" s="1"/>
  <c r="BP17" i="5"/>
  <c r="V29" i="5" s="1"/>
  <c r="BM17" i="5"/>
  <c r="V26" i="5" s="1"/>
  <c r="BR17" i="5"/>
  <c r="V31" i="5" s="1"/>
  <c r="BA17" i="5"/>
  <c r="U28" i="5" s="1"/>
  <c r="AP17" i="5"/>
  <c r="T31" i="5" s="1"/>
  <c r="AN17" i="5"/>
  <c r="T29" i="5" s="1"/>
  <c r="AK17" i="5"/>
  <c r="T26" i="5" s="1"/>
  <c r="AJ17" i="5"/>
  <c r="T25" i="5" s="1"/>
  <c r="AL17" i="5"/>
  <c r="T27" i="5" s="1"/>
  <c r="AI17" i="5"/>
  <c r="T24" i="5" s="1"/>
  <c r="CT17" i="5"/>
  <c r="X31" i="5" s="1"/>
  <c r="CB17" i="5"/>
  <c r="W27" i="5" s="1"/>
  <c r="CP17" i="5"/>
  <c r="X27" i="5" s="1"/>
  <c r="BY17" i="5"/>
  <c r="W24" i="5" s="1"/>
  <c r="CF17" i="5"/>
  <c r="W31" i="5" s="1"/>
  <c r="CD17" i="5"/>
  <c r="W29" i="5" s="1"/>
  <c r="CE17" i="5"/>
  <c r="W30" i="5" s="1"/>
  <c r="CM17" i="5"/>
  <c r="X24" i="5" s="1"/>
  <c r="BC17" i="5"/>
  <c r="U30" i="5" s="1"/>
  <c r="R58" i="2"/>
  <c r="R57" i="2"/>
  <c r="R56" i="2"/>
  <c r="R55" i="2"/>
  <c r="R54" i="2"/>
  <c r="R53" i="2"/>
  <c r="R52" i="2"/>
  <c r="R51" i="2"/>
  <c r="R50" i="2"/>
  <c r="R49" i="2"/>
  <c r="R48" i="2"/>
  <c r="Q29" i="2"/>
  <c r="Q28" i="2"/>
  <c r="Q27" i="2"/>
  <c r="Q26" i="2"/>
  <c r="Q25" i="2"/>
  <c r="Q24" i="2"/>
  <c r="Q23" i="2"/>
  <c r="Q22" i="2"/>
  <c r="Q21" i="2"/>
  <c r="Q20" i="2"/>
  <c r="W33" i="5" l="1"/>
  <c r="U33" i="5"/>
  <c r="Q6" i="5" s="1"/>
  <c r="T33" i="5"/>
  <c r="Q5" i="5" s="1"/>
  <c r="N7" i="5" s="1"/>
  <c r="F18" i="5" s="1"/>
  <c r="F19" i="5" s="1"/>
  <c r="Q8" i="5"/>
  <c r="Q9" i="5"/>
  <c r="V33" i="5"/>
  <c r="Q7" i="5" s="1"/>
  <c r="X33" i="5"/>
  <c r="J7" i="4"/>
  <c r="J8" i="4" s="1"/>
  <c r="I18" i="4" l="1"/>
  <c r="I19" i="4" s="1"/>
  <c r="E21" i="4" s="1"/>
  <c r="G28" i="3"/>
  <c r="G12" i="3"/>
  <c r="G13" i="3"/>
  <c r="G14" i="3"/>
  <c r="G15" i="3"/>
  <c r="G16" i="3"/>
  <c r="G17" i="3"/>
  <c r="G18" i="3"/>
  <c r="G19" i="3"/>
  <c r="G20" i="3"/>
  <c r="G21" i="3"/>
  <c r="G22" i="3"/>
  <c r="G11" i="3"/>
  <c r="I22" i="4" l="1"/>
  <c r="I24" i="4" s="1"/>
  <c r="E33" i="4" s="1"/>
  <c r="G23" i="3"/>
  <c r="G29" i="3" s="1"/>
  <c r="G31" i="3" s="1"/>
  <c r="G32" i="3" s="1"/>
  <c r="F27" i="2"/>
  <c r="F20" i="2"/>
  <c r="F17" i="2"/>
  <c r="F25" i="2" s="1"/>
  <c r="F8" i="2"/>
  <c r="F31" i="1"/>
  <c r="F20" i="1"/>
  <c r="F19" i="1"/>
  <c r="F8" i="1"/>
  <c r="F27" i="1" s="1"/>
  <c r="N43" i="2" l="1"/>
  <c r="N22" i="2"/>
  <c r="N23" i="2" s="1"/>
  <c r="N25" i="2" s="1"/>
  <c r="F24" i="1"/>
  <c r="F21" i="2"/>
  <c r="F22" i="2" s="1"/>
  <c r="F28" i="2"/>
  <c r="F28" i="1"/>
  <c r="F22" i="1"/>
  <c r="F25" i="1" l="1"/>
  <c r="F32" i="1" s="1"/>
  <c r="D34" i="1" s="1"/>
  <c r="N44" i="2"/>
  <c r="N16" i="2"/>
  <c r="N17" i="2" s="1"/>
  <c r="N24" i="2"/>
  <c r="N18" i="2" l="1"/>
  <c r="N19" i="2"/>
  <c r="N45" i="2"/>
  <c r="N46" i="2"/>
  <c r="S17" i="2" l="1"/>
  <c r="X17" i="2"/>
  <c r="R27" i="2" s="1"/>
  <c r="U17" i="2"/>
  <c r="R24" i="2" s="1"/>
  <c r="Z17" i="2"/>
  <c r="R29" i="2" s="1"/>
  <c r="Q17" i="2"/>
  <c r="R20" i="2" s="1"/>
  <c r="R17" i="2"/>
  <c r="R21" i="2" s="1"/>
  <c r="W17" i="2"/>
  <c r="R26" i="2" s="1"/>
  <c r="V17" i="2"/>
  <c r="R25" i="2" s="1"/>
  <c r="Y17" i="2"/>
  <c r="R28" i="2" s="1"/>
  <c r="T17" i="2"/>
  <c r="R23" i="2" s="1"/>
  <c r="Y45" i="2"/>
  <c r="Q56" i="2" s="1"/>
  <c r="S45" i="2"/>
  <c r="Q50" i="2" s="1"/>
  <c r="T45" i="2"/>
  <c r="Q51" i="2" s="1"/>
  <c r="U45" i="2"/>
  <c r="Q52" i="2" s="1"/>
  <c r="AA45" i="2"/>
  <c r="Q58" i="2" s="1"/>
  <c r="Q45" i="2"/>
  <c r="Q48" i="2" s="1"/>
  <c r="V45" i="2"/>
  <c r="Q53" i="2" s="1"/>
  <c r="X45" i="2"/>
  <c r="Q55" i="2" s="1"/>
  <c r="Z45" i="2"/>
  <c r="Q57" i="2" s="1"/>
  <c r="R45" i="2"/>
  <c r="Q49" i="2" s="1"/>
  <c r="W45" i="2"/>
  <c r="Q54" i="2" s="1"/>
  <c r="R22" i="2"/>
  <c r="N26" i="2" l="1"/>
  <c r="N27" i="2" l="1"/>
  <c r="F23" i="2" l="1"/>
  <c r="N49" i="2" s="1"/>
  <c r="N50" i="2" s="1"/>
  <c r="N52" i="2" s="1"/>
  <c r="N51" i="2" l="1"/>
  <c r="N53" i="2"/>
  <c r="F26" i="2" s="1"/>
  <c r="F29" i="2" s="1"/>
  <c r="N56" i="2" l="1"/>
  <c r="N57" i="2" s="1"/>
  <c r="N59" i="2" s="1"/>
  <c r="N58" i="2" l="1"/>
  <c r="N60" i="2" s="1"/>
  <c r="N61" i="2" l="1"/>
  <c r="F30" i="2" s="1"/>
  <c r="F31" i="2" s="1"/>
  <c r="F33" i="2" s="1"/>
  <c r="B34" i="2" s="1"/>
</calcChain>
</file>

<file path=xl/sharedStrings.xml><?xml version="1.0" encoding="utf-8"?>
<sst xmlns="http://schemas.openxmlformats.org/spreadsheetml/2006/main" count="380" uniqueCount="221">
  <si>
    <t>Sizing Method for Pollutant Removal Criteria</t>
  </si>
  <si>
    <t xml:space="preserve">Worksheet B.5-1 </t>
  </si>
  <si>
    <t>Area draining to the BMP</t>
  </si>
  <si>
    <t>sq. ft.</t>
  </si>
  <si>
    <t>Adjusted runoff factor for drainage area (Refer to Appendix B.1 and B.2)</t>
  </si>
  <si>
    <r>
      <t>85</t>
    </r>
    <r>
      <rPr>
        <vertAlign val="superscript"/>
        <sz val="9"/>
        <color theme="1"/>
        <rFont val="Merriweather"/>
      </rPr>
      <t>th</t>
    </r>
    <r>
      <rPr>
        <sz val="9"/>
        <color theme="1"/>
        <rFont val="Merriweather"/>
      </rPr>
      <t xml:space="preserve"> percentile 24-hour rainfall depth</t>
    </r>
  </si>
  <si>
    <t>inches</t>
  </si>
  <si>
    <t>Design capture volume [Line 1 x Line 2 x (Line 3/12)]</t>
  </si>
  <si>
    <t>cu. ft.</t>
  </si>
  <si>
    <t>BMP Parameters</t>
  </si>
  <si>
    <t>Surface ponding [6 inch minimum, 12 inch maximum]</t>
  </si>
  <si>
    <t>Aggregate storage below underdrain invert (3 inches minimum) – use 0 inches if the aggregate is not over the entire bottom surface area</t>
  </si>
  <si>
    <t>Freely drained pore storage of the media</t>
  </si>
  <si>
    <t>in/in</t>
  </si>
  <si>
    <t>Porosity of aggregate storage</t>
  </si>
  <si>
    <t>in/hr.</t>
  </si>
  <si>
    <t>Baseline Calculations</t>
  </si>
  <si>
    <t>Allowable routing time for sizing</t>
  </si>
  <si>
    <t>hours</t>
  </si>
  <si>
    <t>Depth filtered during storm [ Line 11 x Line 12]</t>
  </si>
  <si>
    <t xml:space="preserve">Depth of Detention Storage </t>
  </si>
  <si>
    <t>[Line 5 + (Line 6 x Line 9) + (Line 7 x Line 10) + (Line 8 x Line 10)]</t>
  </si>
  <si>
    <t>Total Depth Treated [Line 13 + Line 14]</t>
  </si>
  <si>
    <t>Option 1 – Biofilter 1.5 times the DCV</t>
  </si>
  <si>
    <t>Required biofiltered volume [1.5 x Line 4]</t>
  </si>
  <si>
    <t>Required Footprint  [Line 16/ Line 15] x 12</t>
  </si>
  <si>
    <t>Option 2 - Store 0.75 of remaining DCV in pores and ponding</t>
  </si>
  <si>
    <t>Required Storage (surface + pores) Volume [0.75 x Line 4]</t>
  </si>
  <si>
    <t>Required Footprint  [Line 18/ Line 14] x 12</t>
  </si>
  <si>
    <t>Footprint of the BMP</t>
  </si>
  <si>
    <t>Minimum BMP Footprint [Line 1 x Line 2 x Line 20]</t>
  </si>
  <si>
    <t>Footprint of the BMP = Maximum(Minimum(Line 17, Line 19), Line 21)</t>
  </si>
  <si>
    <t>Sizing Method for Volume Retention Criteria</t>
  </si>
  <si>
    <t xml:space="preserve">Worksheet B.5-2 </t>
  </si>
  <si>
    <t>%</t>
  </si>
  <si>
    <t>Volume Retention Requirement</t>
  </si>
  <si>
    <t>Factor of safety</t>
  </si>
  <si>
    <t>Average annual volume reduction target (Figure B.5-2)</t>
  </si>
  <si>
    <t>Fraction of DCV to be retained (Figure B.5-3)</t>
  </si>
  <si>
    <t>Evapotranspiration: Average Annual Volume Retention</t>
  </si>
  <si>
    <t>Infiltration: Average Annual Volume Retention</t>
  </si>
  <si>
    <t>Fraction of DCV retained (Figure B.5-3)</t>
  </si>
  <si>
    <t xml:space="preserve">Worksheet B.5-3 </t>
  </si>
  <si>
    <t>Adjusted Runoff Factor for drainage area (Refer to Appendix B.1 and B.2)</t>
  </si>
  <si>
    <t>lb/sq. ft.</t>
  </si>
  <si>
    <t>years</t>
  </si>
  <si>
    <t>Volume Weighted EMC Calculation</t>
  </si>
  <si>
    <t>Land Use</t>
  </si>
  <si>
    <t>Fraction of Total DCV</t>
  </si>
  <si>
    <t>TSS EMC (mg/L)</t>
  </si>
  <si>
    <t>Product</t>
  </si>
  <si>
    <t>Single Family Residential</t>
  </si>
  <si>
    <t>Commercial</t>
  </si>
  <si>
    <t>Industrial</t>
  </si>
  <si>
    <t>Education (Municipal)</t>
  </si>
  <si>
    <t>Transportation</t>
  </si>
  <si>
    <t>Multi-family Residential</t>
  </si>
  <si>
    <t>Roof Runoff</t>
  </si>
  <si>
    <t>Low Traffic Areas</t>
  </si>
  <si>
    <t>Open Space</t>
  </si>
  <si>
    <t>Other, specify:</t>
  </si>
  <si>
    <t>Volume Weighted EMC (sum of all products)</t>
  </si>
  <si>
    <t>mg/L</t>
  </si>
  <si>
    <t>Sizing Factor for Clogging</t>
  </si>
  <si>
    <t>Adjustment for pretreatment measures</t>
  </si>
  <si>
    <t>Where: Line 6 = 0 if no pretreatment; Line 6 = 0.25 when pretreatment is included; Line 6 = 0.5 if the pretreatment has an active Washington State TAPE approval rating for “pre-treatment.”</t>
  </si>
  <si>
    <t>cu-ft/yr</t>
  </si>
  <si>
    <t xml:space="preserve">Calculate the Average Annual TSS Load </t>
  </si>
  <si>
    <r>
      <t>(Line 8 x 62.4 x Line 5 x (1 – Line 6))/10</t>
    </r>
    <r>
      <rPr>
        <vertAlign val="superscript"/>
        <sz val="9"/>
        <color theme="1"/>
        <rFont val="Merriweather"/>
      </rPr>
      <t>6</t>
    </r>
  </si>
  <si>
    <t>lb/yr</t>
  </si>
  <si>
    <t>Calculate the BMP Footprint Needed (Line 9 x Line 4)/Line 3</t>
  </si>
  <si>
    <t>Calculate the Minimum Footprint Sizing Factor for Clogging</t>
  </si>
  <si>
    <t>[ Line 10/ (Line 1 x Line 2)]</t>
  </si>
  <si>
    <t>Discussion:</t>
  </si>
  <si>
    <t>Volume Retention for No Infiltration Condition</t>
  </si>
  <si>
    <t>Worksheet B.5-5</t>
  </si>
  <si>
    <t>Area draining to the biofiltration BMP</t>
  </si>
  <si>
    <t>Effective impervious area draining to the BMP [Line 1 x Line 2]</t>
  </si>
  <si>
    <t>Required area for Evapotranspiration [Line 3 x 0.03]</t>
  </si>
  <si>
    <t>Biofiltration BMP Footprint</t>
  </si>
  <si>
    <t>Landscape Area (must be identified on DS-3247)</t>
  </si>
  <si>
    <t>Identification</t>
  </si>
  <si>
    <t>Impervious area draining to the landscape area (sq. ft.)</t>
  </si>
  <si>
    <t xml:space="preserve">Impervious to Pervious Area ratio </t>
  </si>
  <si>
    <t>[Line 7/Line 6]</t>
  </si>
  <si>
    <t>Effective Credit Area</t>
  </si>
  <si>
    <t>Sum of Landscape area [sum of Line 9  Id’s 1 to 5]</t>
  </si>
  <si>
    <t>Provided footprint for evapotranspiration [Line 5 + Line 10]</t>
  </si>
  <si>
    <t>Volume Retention Performance Standard</t>
  </si>
  <si>
    <t>Volume Retention From Amended Soils</t>
  </si>
  <si>
    <t>Worksheet B.5-6</t>
  </si>
  <si>
    <t>If (Line 8 &gt;1.5, Line 6, Line 7/1.5]</t>
  </si>
  <si>
    <t>Effective evapotranspiration depth [Line 6 x Line 7]</t>
  </si>
  <si>
    <t>Evapotranspiration average annual capture [ET nomographs in Figure B.5-5]</t>
  </si>
  <si>
    <t>Row Labels</t>
  </si>
  <si>
    <t>ET Depth</t>
  </si>
  <si>
    <t>Fraction</t>
  </si>
  <si>
    <t>Match</t>
  </si>
  <si>
    <t>Result</t>
  </si>
  <si>
    <t>First Term</t>
  </si>
  <si>
    <t>Second Term</t>
  </si>
  <si>
    <t>Fraction result</t>
  </si>
  <si>
    <t>Drawdown for infiltration storage [(Line 8 x Line 9)/Line 12]</t>
  </si>
  <si>
    <t>Drawdown</t>
  </si>
  <si>
    <t>Drawdownresult</t>
  </si>
  <si>
    <t>Capture</t>
  </si>
  <si>
    <t>Infiltration volume storage [(Line 5 x Line 8 x Line 9)/12]</t>
  </si>
  <si>
    <t>BMP Capture</t>
  </si>
  <si>
    <t>Impervious area draining to the pervious area</t>
  </si>
  <si>
    <t>Amendment Depth (Choose from 3”, 6”, 9”, 12”, 15” and 18”)</t>
  </si>
  <si>
    <t>Factor of Safety</t>
  </si>
  <si>
    <t>Reliable Infiltration rate</t>
  </si>
  <si>
    <t>Selected Amendment</t>
  </si>
  <si>
    <t>Media thickness [18 inches minimum], also add mulch layer and washed ASTM 33 fine aggregate sand thickness to this line for sizing calculations</t>
  </si>
  <si>
    <t>Aggregate storage (also add ASTM No 8 stone) above underdrain invert (12 inches typical) – use 0 inches if the aggregate is not over the entire bottom surface area</t>
  </si>
  <si>
    <t>Media filtration rate to be used for sizing (maximum filtration rate of 5 in/hr. with no outlet control; if the filtration rate is controlled by the outlet use the outlet controlled rate (includes infiltration into the soil and flow rate through the outlet structure) which will be less than 5 in/hr.)</t>
  </si>
  <si>
    <t>Provided BMP Footprint</t>
  </si>
  <si>
    <t>Reliable infiltration rate, for biofiltration BMP sizing [Line 10/ Line 11]</t>
  </si>
  <si>
    <t>Disclaimer:</t>
  </si>
  <si>
    <t>Overview:</t>
  </si>
  <si>
    <t>Priority development projects that will be implementing biofiltration BMPs to satisfy the pollutant control performance standard for the project may use these automated worksheets to size the biofiltration BMPs and document compliance with the performance standard. The City of San Diego (City) developed this tool to assist the applicant performing sizing calculations using worksheets in Appendix B.5 and to streamline the plan review process. The use of this tool is optional and the applicant may elect to provide their own calculations.</t>
  </si>
  <si>
    <t>In this tool each tab is independent of other tabs.</t>
  </si>
  <si>
    <t>After completion of the calculations, the applicant must print a pdf of the tab for each BMP and attach it to the PDP SWQMP.</t>
  </si>
  <si>
    <t>Project Name</t>
  </si>
  <si>
    <t>BMP ID</t>
  </si>
  <si>
    <t>Average Annual Precipitation [Provide documentation of the data source in the discussion box; SanGIS has a GIS layer for average annual precipitation]</t>
  </si>
  <si>
    <t>BMP Footprint Sizing Factor (Default 0.03 or an alternative minimum footprint sizing factor from Line 11 in Worksheet B.5-4)</t>
  </si>
  <si>
    <t>Measured infiltration rate in the DMA 
Note: 
When mapped hydrologic soil groups are used enter 0.10 for NRCS Type D soils and for NRCS Type C soils enter 0.30
When in no infiltration condition and the actual measured infiltration rate is unknown enter 0.0 if there are geotechnical and/or groundwater hazards identified in Appendix C or enter 0.05</t>
  </si>
  <si>
    <t>Reliable infiltration rate, for biofiltration BMP sizing [Line 5 / Line 6]</t>
  </si>
  <si>
    <r>
      <t xml:space="preserve">When Line 7 &gt; 0.01 in/hr. = Minimum (40, 166.9 x Line 7 +6.62)
When Line 7 </t>
    </r>
    <r>
      <rPr>
        <sz val="9"/>
        <color theme="1"/>
        <rFont val="Calibri"/>
        <family val="2"/>
      </rPr>
      <t>≤</t>
    </r>
    <r>
      <rPr>
        <sz val="9"/>
        <color theme="1"/>
        <rFont val="Merriweather"/>
      </rPr>
      <t xml:space="preserve"> 0.01 in/hr. = 3.5%</t>
    </r>
  </si>
  <si>
    <r>
      <t>When Line 8 &gt; 8% = 
0.0000013 x Line 8</t>
    </r>
    <r>
      <rPr>
        <vertAlign val="superscript"/>
        <sz val="9"/>
        <color theme="1"/>
        <rFont val="Merriweather"/>
      </rPr>
      <t>3</t>
    </r>
    <r>
      <rPr>
        <sz val="9"/>
        <color theme="1"/>
        <rFont val="Merriweather"/>
      </rPr>
      <t xml:space="preserve"> - 0.000057 x Line 8</t>
    </r>
    <r>
      <rPr>
        <vertAlign val="superscript"/>
        <sz val="9"/>
        <color theme="1"/>
        <rFont val="Merriweather"/>
      </rPr>
      <t>2</t>
    </r>
    <r>
      <rPr>
        <sz val="9"/>
        <color theme="1"/>
        <rFont val="Merriweather"/>
      </rPr>
      <t xml:space="preserve"> + 0.0086 x Line 8 - 0.014
When Line 8 </t>
    </r>
    <r>
      <rPr>
        <sz val="9"/>
        <color theme="1"/>
        <rFont val="Calibri"/>
        <family val="2"/>
      </rPr>
      <t>≤</t>
    </r>
    <r>
      <rPr>
        <sz val="9"/>
        <color theme="1"/>
        <rFont val="Merriweather"/>
      </rPr>
      <t xml:space="preserve"> 8% = 0.023</t>
    </r>
  </si>
  <si>
    <t>Target volume retention [Line 9 x Line 4]</t>
  </si>
  <si>
    <t>Volume Retention from Biofiltration with Partial Retention BMPs</t>
  </si>
  <si>
    <t>Measured infiltration rate in the DMA 
Note: When mapped hydrologic soil groups are used enter 0.10 for NRCS Type D soils and for NRCS Type C soils enter 0.30</t>
  </si>
  <si>
    <t>Equivalent DCV fraction from evapotranspiration 
(use Line 16 and Line 17 in Figure B.4-1; Refer to Appendix B.4.2.2 )</t>
  </si>
  <si>
    <t>Infiltration Storage Fraction of DCV [Line 19/Line 4]</t>
  </si>
  <si>
    <t>Total Equivalent Fraction of DCV [Line 18 + Line 20]</t>
  </si>
  <si>
    <t>Biofiltration BMP average annual capture 
[use Line 21 and 17 in Figure B.4-1]</t>
  </si>
  <si>
    <t>Retained Pore Volume [(Line 13 x Line 5)/12]</t>
  </si>
  <si>
    <t>Fraction of DCV retained in pore spaces [Line 14/Line 4]</t>
  </si>
  <si>
    <r>
      <t>0.0000013 x Line 22</t>
    </r>
    <r>
      <rPr>
        <vertAlign val="superscript"/>
        <sz val="9"/>
        <color theme="1"/>
        <rFont val="Merriweather"/>
      </rPr>
      <t>3</t>
    </r>
    <r>
      <rPr>
        <sz val="9"/>
        <color theme="1"/>
        <rFont val="Merriweather"/>
      </rPr>
      <t xml:space="preserve"> - 0.000057 x Line 22</t>
    </r>
    <r>
      <rPr>
        <vertAlign val="superscript"/>
        <sz val="9"/>
        <color theme="1"/>
        <rFont val="Merriweather"/>
      </rPr>
      <t>2</t>
    </r>
    <r>
      <rPr>
        <sz val="9"/>
        <color theme="1"/>
        <rFont val="Merriweather"/>
      </rPr>
      <t xml:space="preserve"> + 0.0086 x Line 22 - 0.014</t>
    </r>
  </si>
  <si>
    <t>Updated Result</t>
  </si>
  <si>
    <t>Worksheet B.5-4</t>
  </si>
  <si>
    <t>Load to Clog (default value when using Appendix E fact sheets is 2.0)</t>
  </si>
  <si>
    <r>
      <t>Allowable Period to Accumulate Clogging Load (T</t>
    </r>
    <r>
      <rPr>
        <vertAlign val="subscript"/>
        <sz val="9"/>
        <color theme="1"/>
        <rFont val="Merriweather"/>
      </rPr>
      <t>L</t>
    </r>
    <r>
      <rPr>
        <sz val="9"/>
        <color theme="1"/>
        <rFont val="Merriweather"/>
      </rPr>
      <t>) (default value is 10)</t>
    </r>
  </si>
  <si>
    <t>Optimized Biofiltration BMP Footprint when 
Downstream of a Storage Unit</t>
  </si>
  <si>
    <t>Area draining to the storage unit and biofiltration BMP</t>
  </si>
  <si>
    <t>Effective impervious area draining to the storage unit and biofiltration BMP [Line 1 x Line 2]</t>
  </si>
  <si>
    <t>Remaining DCV after implementing retention BMPs</t>
  </si>
  <si>
    <t>Design infiltration rate (measured infiltration rate / 2)</t>
  </si>
  <si>
    <t>ft./hr.</t>
  </si>
  <si>
    <t>ft.</t>
  </si>
  <si>
    <t>Media thickness [1.5 feet minimum], also add mulch layer and washed ASTM 33 fine aggregate sand thickness to this line for sizing calculations</t>
  </si>
  <si>
    <t>Media retained pore space</t>
  </si>
  <si>
    <t>Media filtration rate to be used for sizing (0.42 ft/hr. with no outlet control; if the filtration rate is controlled by the outlet use the outlet controlled rate)</t>
  </si>
  <si>
    <t>Storage Unit Requirement</t>
  </si>
  <si>
    <t>Criteria 1: BMP Footprint Biofiltration Capacity</t>
  </si>
  <si>
    <t>Criteria 2: Alternative Minimum Sizing Factor  (Clogging)</t>
  </si>
  <si>
    <t>Optimized Biofiltration Footprint</t>
  </si>
  <si>
    <t>Optimized biofiltration footprint, maximum(Line 15, Line 17, Line 21)</t>
  </si>
  <si>
    <t>Required optimized biofiltration footprint (Line 18/Line 20)</t>
  </si>
  <si>
    <t>Criteria 3: Retention requirement [Not applicable for No Infiltration Condition]</t>
  </si>
  <si>
    <t>Retention Target (Line 10 in Worksheet B.5-2)</t>
  </si>
  <si>
    <t>Average discharge rate from the storage unit to the biofiltration BMP</t>
  </si>
  <si>
    <t>cfs</t>
  </si>
  <si>
    <t>Depth retained in the optimized biofiltration BMP
{Line 6 x Line 8} + {[(Line 4)/(2400 x Line 19)] x Line 5}</t>
  </si>
  <si>
    <t>ft</t>
  </si>
  <si>
    <t>Required biofiltration footprint [Line 3 x Line 16]</t>
  </si>
  <si>
    <t>fraction</t>
  </si>
  <si>
    <t>Alternative Minimum Footprint Sizing Factor 
[Line 11 of Worksheet B.5-4]</t>
  </si>
  <si>
    <t>Peak flow from the storage unit to the biofiltration BMP (using the elevation used to evaluate the percent capture)</t>
  </si>
  <si>
    <t>Required biofiltration footprint [(3,600 x Line 14)/Line 7]</t>
  </si>
  <si>
    <t>Storage provided in the design, minimum(from the elevation that bypasses the biofiltration BMP, overflow elevation)</t>
  </si>
  <si>
    <t>Storage required in cubic feet (Line 4 x Line 10)</t>
  </si>
  <si>
    <t>Storage required to achieve greater than 92 percent capture 
(see Table B.5-5)</t>
  </si>
  <si>
    <t>Drawdown time of the storage unit, minimum(from the elevation that bypasses the biofiltration BMP, overflow elevation)</t>
  </si>
  <si>
    <t>Is Line 12 ≥ Line 11?</t>
  </si>
  <si>
    <t>Drawdown Time (hours)</t>
  </si>
  <si>
    <t>Storage requirement (below the overflow elevation, or below outlet elevation that bypass the biofiltration BMP)</t>
  </si>
  <si>
    <t>0.85 DCV</t>
  </si>
  <si>
    <t>1.25 DCV</t>
  </si>
  <si>
    <t>1.50 DCV</t>
  </si>
  <si>
    <t>1.80 DCV</t>
  </si>
  <si>
    <t>2.20 DCV</t>
  </si>
  <si>
    <t>2.60 DCV</t>
  </si>
  <si>
    <t>2.80 DCV</t>
  </si>
  <si>
    <r>
      <t xml:space="preserve">Is Line 11 </t>
    </r>
    <r>
      <rPr>
        <sz val="9"/>
        <color theme="1"/>
        <rFont val="Calibri"/>
        <family val="2"/>
      </rPr>
      <t>≥</t>
    </r>
    <r>
      <rPr>
        <sz val="13.05"/>
        <color theme="1"/>
        <rFont val="Merriweather"/>
      </rPr>
      <t xml:space="preserve"> </t>
    </r>
    <r>
      <rPr>
        <sz val="9"/>
        <color theme="1"/>
        <rFont val="Merriweather"/>
      </rPr>
      <t>Line 4?</t>
    </r>
  </si>
  <si>
    <t>Volume retention required from other site design BMPs 
[(1-Line 13) x Line 14]</t>
  </si>
  <si>
    <t xml:space="preserve">Target Volume Retention [Line 10 from Worksheet B.5.2] </t>
  </si>
  <si>
    <t>Fraction of the performance standard met through the BMP footprint and/or landscaping [Line 11/Line 4]</t>
  </si>
  <si>
    <t>Site Design BMP</t>
  </si>
  <si>
    <t>Credit</t>
  </si>
  <si>
    <t>Site Design Type</t>
  </si>
  <si>
    <t>Is Line 16 ≥ Line 15?</t>
  </si>
  <si>
    <t>Worksheet B.5-7</t>
  </si>
  <si>
    <t>Dispersion Ratio [Line 1/Line 2]
Note: This worksheet is not applicable when Line 3 &gt; 50 or Line 3 &lt; 0.25</t>
  </si>
  <si>
    <t>Adjusted runoff factor [(Line 1 * 0.9 + Line 2 * 0.1) / (Line 1 + Line 2)]</t>
  </si>
  <si>
    <t>85th percentile 24-hour rainfall depth</t>
  </si>
  <si>
    <t>Design capture volume [(Line 1 + Line 2) x Line 4 x (Line 5/12)]</t>
  </si>
  <si>
    <t>Storage [(porosity – field capacity) + 0.5 * (field capacity – wilting point)]</t>
  </si>
  <si>
    <t>Pervious Storage [Line 2 * (Line 7/12) * Line 8]</t>
  </si>
  <si>
    <t>Fraction of DCV [Line 9 / Line 6]</t>
  </si>
  <si>
    <t>Volume retention due to amendment [Line 1 * (Line 5/12) * Line 14]</t>
  </si>
  <si>
    <t>Dispersion Credit (Based on Figures B.5.6 to B.5.11; Line 10 and Line 13)</t>
  </si>
  <si>
    <t>Reliable Infiltration Rate [Line 11/Line 12]</t>
  </si>
  <si>
    <t>Measured Infiltration Rate
When mapped hydrologic soil groups are used enter 0.10 for NRCS Type D soils and for NRCS Type C soils enter 0.30
When in no infiltration condition and the actual measured infiltration rate is unknown enter 0.0 if there are geotechnical and/or groundwater hazards identified in Appendix C or enter 0.05</t>
  </si>
  <si>
    <t>in./in.</t>
  </si>
  <si>
    <t>Fraction of DCV</t>
  </si>
  <si>
    <t>Dispersion Credit</t>
  </si>
  <si>
    <t>To use this tool applicants must navigate to the appropriate worksheet tab and populate the orange cells with project specific information, all other cells are locked for editing and will be automatically calculated.</t>
  </si>
  <si>
    <r>
      <t xml:space="preserve">Is Line 23 </t>
    </r>
    <r>
      <rPr>
        <sz val="9"/>
        <color theme="1"/>
        <rFont val="Calibri"/>
        <family val="2"/>
      </rPr>
      <t>≥</t>
    </r>
    <r>
      <rPr>
        <sz val="9"/>
        <color theme="1"/>
        <rFont val="Merriweather"/>
      </rPr>
      <t xml:space="preserve"> Line 22?</t>
    </r>
  </si>
  <si>
    <t>Media retained pore space [50% of (Field Capacity-Wilting Point)]</t>
  </si>
  <si>
    <t>Volume retention achieved by biofiltration BMP 
[Line 23 x Line 4]</t>
  </si>
  <si>
    <t>Alternative Minimum Footprint Sizing Factor for 
Non-Standard Biofiltration</t>
  </si>
  <si>
    <t>Table B.5-5</t>
  </si>
  <si>
    <t>Calculate the Average Annual Runoff (Line 7/12) x Line 1 x Line2</t>
  </si>
  <si>
    <t>Sum of volume retention benefits from other site design BMPs (e.g. trees; rain barrels etc.). [sum of Line 16 Credits for Id’s 1 to 5]
Provide documentation of how the site design credit is calculated in the PDP SWQMP.</t>
  </si>
  <si>
    <t>Landscape area that meet the requirements in SD-B and SD-F Fact Sheet (sq. ft.)</t>
  </si>
  <si>
    <t>Pervious area (must meet the requirements in SD-B and SD-F Fact Sheets)</t>
  </si>
  <si>
    <t xml:space="preserve">City of Escondido Biofiltration BMP Sizing Worksheets  (Appendix B.5)
(Version 1.0 - January 2018) </t>
  </si>
  <si>
    <r>
      <rPr>
        <sz val="10"/>
        <color rgb="FF00B0F0"/>
        <rFont val="Open Sans"/>
      </rPr>
      <t xml:space="preserve">The City of Escondido has provided this tool for use with permission. </t>
    </r>
    <r>
      <rPr>
        <sz val="10"/>
        <color theme="1"/>
        <rFont val="Open Sans"/>
        <family val="2"/>
      </rPr>
      <t>The applicant assumes responsibility for the selection and application of this tool and should verify all of the assumptions and computed results for reasonableness and accuracy. The City will not be held liable for any errors or other negative impacts associated with the use of this tool. In the event that the City performs updates to this tool, applicants that have not established reliance on previous versions of this tool via discretionary approval may be required to utilize the latest version of the tool.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</si>
</sst>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5">
    <font>
      <sz val="11"/>
      <color theme="1"/>
      <name val="Calibri"/>
      <family val="2"/>
      <scheme val="minor"/>
    </font>
    <font>
      <b/>
      <sz val="10"/>
      <color rgb="FFFFFFFF"/>
      <name val="Merriweather"/>
    </font>
    <font>
      <sz val="9"/>
      <color theme="1"/>
      <name val="Merriweather"/>
    </font>
    <font>
      <vertAlign val="superscript"/>
      <sz val="9"/>
      <color theme="1"/>
      <name val="Merriweather"/>
    </font>
    <font>
      <b/>
      <sz val="9"/>
      <color theme="1"/>
      <name val="Merriweather"/>
    </font>
    <font>
      <vertAlign val="subscript"/>
      <sz val="9"/>
      <color theme="1"/>
      <name val="Merriweather"/>
    </font>
    <font>
      <b/>
      <sz val="12"/>
      <color theme="1"/>
      <name val="Open Sans"/>
      <family val="2"/>
    </font>
    <font>
      <sz val="11"/>
      <color theme="1"/>
      <name val="Calibri"/>
      <family val="2"/>
      <scheme val="minor"/>
    </font>
    <font>
      <b/>
      <sz val="11"/>
      <color theme="1"/>
      <name val="Calibri"/>
      <family val="2"/>
      <scheme val="minor"/>
    </font>
    <font>
      <sz val="9"/>
      <color theme="1"/>
      <name val="Calibri"/>
      <family val="2"/>
    </font>
    <font>
      <b/>
      <sz val="11"/>
      <color theme="1"/>
      <name val="Merriweather"/>
    </font>
    <font>
      <sz val="10"/>
      <color theme="1"/>
      <name val="Open Sans"/>
      <family val="2"/>
    </font>
    <font>
      <sz val="10"/>
      <color theme="1"/>
      <name val="Merriweather"/>
    </font>
    <font>
      <b/>
      <sz val="12"/>
      <name val="Open Sans"/>
      <family val="2"/>
    </font>
    <font>
      <b/>
      <sz val="9"/>
      <color rgb="FFFFFFFF"/>
      <name val="Merriweather"/>
    </font>
    <font>
      <sz val="10"/>
      <color rgb="FF000000"/>
      <name val="Merriweather"/>
    </font>
    <font>
      <sz val="13.05"/>
      <color theme="1"/>
      <name val="Merriweather"/>
    </font>
    <font>
      <sz val="10"/>
      <color theme="1"/>
      <name val="Open Sans"/>
      <family val="2"/>
    </font>
    <font>
      <b/>
      <sz val="16"/>
      <color theme="1"/>
      <name val="Open Sans"/>
      <family val="2"/>
    </font>
    <font>
      <b/>
      <u/>
      <sz val="14"/>
      <color theme="1"/>
      <name val="Open Sans"/>
      <family val="2"/>
    </font>
    <font>
      <b/>
      <sz val="10"/>
      <color theme="1"/>
      <name val="Open Sans"/>
      <family val="2"/>
    </font>
    <font>
      <sz val="11"/>
      <color theme="1"/>
      <name val="Open Sans"/>
      <family val="2"/>
    </font>
    <font>
      <sz val="11"/>
      <color theme="1"/>
      <name val="Calibri"/>
      <family val="2"/>
      <scheme val="minor"/>
    </font>
    <font>
      <sz val="10"/>
      <color rgb="FF00B0F0"/>
      <name val="Open Sans"/>
    </font>
    <font>
      <sz val="10"/>
      <color theme="1"/>
      <name val="Open Sans"/>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30507F"/>
        <bgColor indexed="64"/>
      </patternFill>
    </fill>
    <fill>
      <patternFill patternType="solid">
        <fgColor theme="4" tint="0.39997558519241921"/>
        <bgColor indexed="64"/>
      </patternFill>
    </fill>
    <fill>
      <patternFill patternType="solid">
        <fgColor theme="4"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7" fillId="0" borderId="0"/>
    <xf numFmtId="9" fontId="7" fillId="0" borderId="0" applyFont="0" applyFill="0" applyBorder="0" applyAlignment="0" applyProtection="0"/>
  </cellStyleXfs>
  <cellXfs count="137">
    <xf numFmtId="0" fontId="0" fillId="0" borderId="0" xfId="0"/>
    <xf numFmtId="0" fontId="0" fillId="0" borderId="0" xfId="0" applyProtection="1"/>
    <xf numFmtId="0" fontId="7" fillId="0" borderId="12" xfId="1" applyBorder="1" applyAlignment="1" applyProtection="1">
      <alignment horizontal="center"/>
    </xf>
    <xf numFmtId="0" fontId="8" fillId="0" borderId="12" xfId="1" applyFont="1" applyBorder="1" applyAlignment="1" applyProtection="1">
      <alignment horizontal="center"/>
    </xf>
    <xf numFmtId="1" fontId="0" fillId="0" borderId="12" xfId="2" applyNumberFormat="1" applyFont="1" applyBorder="1" applyAlignment="1" applyProtection="1">
      <alignment horizontal="center"/>
    </xf>
    <xf numFmtId="2" fontId="0" fillId="0" borderId="0" xfId="0" applyNumberFormat="1" applyProtection="1"/>
    <xf numFmtId="0" fontId="0" fillId="0" borderId="12" xfId="0" applyBorder="1" applyProtection="1"/>
    <xf numFmtId="2" fontId="0" fillId="0" borderId="12" xfId="0" applyNumberFormat="1" applyBorder="1" applyProtection="1"/>
    <xf numFmtId="2" fontId="8" fillId="2" borderId="12" xfId="0" applyNumberFormat="1" applyFont="1" applyFill="1" applyBorder="1" applyProtection="1"/>
    <xf numFmtId="0" fontId="0" fillId="0" borderId="12" xfId="0" applyBorder="1" applyAlignment="1" applyProtection="1">
      <alignment horizontal="center"/>
    </xf>
    <xf numFmtId="0" fontId="8" fillId="0" borderId="12" xfId="0" applyFont="1" applyBorder="1" applyAlignment="1" applyProtection="1">
      <alignment horizontal="center"/>
    </xf>
    <xf numFmtId="164" fontId="0" fillId="0" borderId="0" xfId="0" applyNumberFormat="1" applyProtection="1"/>
    <xf numFmtId="1" fontId="0" fillId="0" borderId="12" xfId="0" applyNumberFormat="1" applyBorder="1" applyAlignment="1" applyProtection="1">
      <alignment horizontal="center"/>
    </xf>
    <xf numFmtId="0" fontId="0" fillId="0" borderId="0" xfId="0" applyAlignment="1" applyProtection="1">
      <alignment horizontal="center"/>
    </xf>
    <xf numFmtId="0" fontId="8" fillId="0" borderId="0" xfId="0" applyFont="1" applyBorder="1" applyAlignment="1" applyProtection="1">
      <alignment horizontal="center"/>
    </xf>
    <xf numFmtId="1" fontId="0" fillId="0" borderId="0" xfId="0" applyNumberFormat="1" applyBorder="1" applyAlignment="1" applyProtection="1">
      <alignment horizontal="center"/>
    </xf>
    <xf numFmtId="1" fontId="0" fillId="0" borderId="0" xfId="0" applyNumberFormat="1" applyProtection="1"/>
    <xf numFmtId="164" fontId="0" fillId="0" borderId="12" xfId="0" applyNumberFormat="1" applyBorder="1" applyProtection="1"/>
    <xf numFmtId="1" fontId="2" fillId="0" borderId="12" xfId="0" applyNumberFormat="1" applyFont="1" applyBorder="1" applyAlignment="1" applyProtection="1">
      <alignment horizontal="center" vertical="center" wrapText="1"/>
    </xf>
    <xf numFmtId="0" fontId="0" fillId="0" borderId="0" xfId="0" applyBorder="1" applyProtection="1"/>
    <xf numFmtId="0" fontId="0" fillId="0" borderId="0" xfId="0" applyBorder="1" applyAlignment="1" applyProtection="1">
      <alignment horizontal="center"/>
    </xf>
    <xf numFmtId="0" fontId="6" fillId="0" borderId="12" xfId="0" applyFont="1" applyBorder="1" applyAlignment="1" applyProtection="1">
      <alignment horizontal="right"/>
    </xf>
    <xf numFmtId="0" fontId="2" fillId="0" borderId="12" xfId="0" applyFont="1" applyBorder="1" applyAlignment="1" applyProtection="1">
      <alignment horizontal="center" vertical="center"/>
    </xf>
    <xf numFmtId="0" fontId="2" fillId="0" borderId="12" xfId="0" applyFont="1" applyBorder="1" applyAlignment="1" applyProtection="1">
      <alignment horizontal="justify" vertical="center" wrapText="1"/>
    </xf>
    <xf numFmtId="0" fontId="2" fillId="0" borderId="12" xfId="0" applyFont="1" applyBorder="1" applyAlignment="1" applyProtection="1">
      <alignment horizontal="center" vertical="center" wrapText="1"/>
    </xf>
    <xf numFmtId="0" fontId="2" fillId="0" borderId="12" xfId="0" applyFont="1" applyBorder="1" applyAlignment="1" applyProtection="1">
      <alignment horizontal="center" vertical="center"/>
    </xf>
    <xf numFmtId="0" fontId="2" fillId="0" borderId="12" xfId="0" applyFont="1" applyBorder="1" applyAlignment="1" applyProtection="1">
      <alignment horizontal="center" vertical="center" wrapText="1"/>
    </xf>
    <xf numFmtId="0" fontId="2" fillId="0" borderId="12" xfId="0" applyFont="1" applyBorder="1" applyAlignment="1" applyProtection="1">
      <alignment vertical="center" wrapText="1"/>
    </xf>
    <xf numFmtId="2" fontId="2" fillId="0" borderId="12" xfId="0" applyNumberFormat="1" applyFont="1" applyBorder="1" applyAlignment="1" applyProtection="1">
      <alignment horizontal="center" vertical="center" wrapText="1"/>
    </xf>
    <xf numFmtId="164" fontId="2" fillId="0" borderId="12" xfId="0" applyNumberFormat="1" applyFont="1" applyBorder="1" applyAlignment="1" applyProtection="1">
      <alignment horizontal="center" vertical="center" wrapText="1"/>
    </xf>
    <xf numFmtId="0" fontId="2" fillId="0" borderId="12" xfId="0" applyFont="1" applyBorder="1" applyAlignment="1" applyProtection="1">
      <alignment horizontal="center" vertical="center"/>
    </xf>
    <xf numFmtId="0" fontId="2" fillId="0" borderId="12" xfId="0" applyFont="1" applyBorder="1" applyAlignment="1" applyProtection="1">
      <alignment horizontal="center" vertical="center" wrapText="1"/>
    </xf>
    <xf numFmtId="0" fontId="0" fillId="0" borderId="12" xfId="0" applyBorder="1" applyAlignment="1" applyProtection="1">
      <alignment horizontal="center"/>
    </xf>
    <xf numFmtId="1" fontId="2" fillId="0" borderId="12" xfId="0" applyNumberFormat="1" applyFont="1" applyBorder="1" applyAlignment="1" applyProtection="1">
      <alignment horizontal="center" vertical="center" wrapText="1"/>
    </xf>
    <xf numFmtId="2" fontId="0" fillId="0" borderId="12" xfId="2" applyNumberFormat="1" applyFont="1" applyBorder="1" applyAlignment="1" applyProtection="1">
      <alignment horizontal="center"/>
    </xf>
    <xf numFmtId="0" fontId="0" fillId="0" borderId="12" xfId="0" applyFill="1" applyBorder="1" applyProtection="1"/>
    <xf numFmtId="2" fontId="0" fillId="0" borderId="12" xfId="0" applyNumberFormat="1" applyBorder="1" applyAlignment="1" applyProtection="1">
      <alignment horizontal="center"/>
    </xf>
    <xf numFmtId="2" fontId="8" fillId="2" borderId="12" xfId="0" applyNumberFormat="1" applyFont="1" applyFill="1" applyBorder="1" applyAlignment="1" applyProtection="1">
      <alignment horizontal="center"/>
    </xf>
    <xf numFmtId="0" fontId="2" fillId="0" borderId="12" xfId="0" applyFont="1" applyBorder="1" applyAlignment="1" applyProtection="1">
      <alignment horizontal="justify" vertical="center" wrapText="1"/>
    </xf>
    <xf numFmtId="0" fontId="2" fillId="0" borderId="12" xfId="0" applyFont="1" applyBorder="1" applyAlignment="1" applyProtection="1">
      <alignment horizontal="center" vertical="center"/>
    </xf>
    <xf numFmtId="0" fontId="2" fillId="0" borderId="12" xfId="0" applyFont="1" applyBorder="1" applyAlignment="1" applyProtection="1">
      <alignment horizontal="center" vertical="center" wrapText="1"/>
    </xf>
    <xf numFmtId="165" fontId="2" fillId="0" borderId="12" xfId="0" applyNumberFormat="1" applyFont="1" applyBorder="1" applyAlignment="1" applyProtection="1">
      <alignment horizontal="center" vertical="center" wrapText="1"/>
    </xf>
    <xf numFmtId="1" fontId="2" fillId="0" borderId="12" xfId="0" applyNumberFormat="1" applyFont="1" applyBorder="1" applyAlignment="1" applyProtection="1">
      <alignment horizontal="center" vertical="center" wrapText="1"/>
    </xf>
    <xf numFmtId="0" fontId="15" fillId="4" borderId="12" xfId="0" applyFont="1" applyFill="1" applyBorder="1" applyAlignment="1">
      <alignment horizontal="center" wrapText="1"/>
    </xf>
    <xf numFmtId="0" fontId="12" fillId="4" borderId="12" xfId="0" applyFont="1" applyFill="1" applyBorder="1" applyAlignment="1">
      <alignment horizontal="center" wrapText="1"/>
    </xf>
    <xf numFmtId="165" fontId="0" fillId="3" borderId="12" xfId="0" applyNumberFormat="1" applyFill="1" applyBorder="1" applyProtection="1"/>
    <xf numFmtId="0" fontId="17" fillId="0" borderId="0" xfId="0" applyFont="1"/>
    <xf numFmtId="0" fontId="17" fillId="0" borderId="1" xfId="0" applyFont="1" applyBorder="1"/>
    <xf numFmtId="0" fontId="18" fillId="0" borderId="3" xfId="0" applyFont="1" applyBorder="1" applyAlignment="1">
      <alignment horizontal="center" vertical="center" wrapText="1"/>
    </xf>
    <xf numFmtId="0" fontId="17" fillId="0" borderId="2" xfId="0" applyFont="1" applyBorder="1"/>
    <xf numFmtId="0" fontId="17" fillId="0" borderId="8" xfId="0" applyFont="1" applyBorder="1"/>
    <xf numFmtId="0" fontId="17" fillId="0" borderId="11" xfId="0" applyFont="1" applyBorder="1"/>
    <xf numFmtId="0" fontId="17" fillId="0" borderId="9" xfId="0" applyFont="1" applyBorder="1"/>
    <xf numFmtId="0" fontId="17" fillId="0" borderId="10" xfId="0" applyFont="1" applyBorder="1"/>
    <xf numFmtId="0" fontId="19" fillId="0" borderId="0" xfId="0" applyFont="1" applyBorder="1"/>
    <xf numFmtId="0" fontId="17" fillId="0" borderId="7" xfId="0" applyFont="1" applyBorder="1"/>
    <xf numFmtId="0" fontId="17" fillId="0" borderId="0" xfId="0" applyFont="1" applyBorder="1" applyAlignment="1">
      <alignment wrapText="1"/>
    </xf>
    <xf numFmtId="0" fontId="20" fillId="0" borderId="0" xfId="0" applyFont="1" applyBorder="1" applyAlignment="1">
      <alignment wrapText="1"/>
    </xf>
    <xf numFmtId="0" fontId="17" fillId="0" borderId="6" xfId="0" applyFont="1" applyBorder="1"/>
    <xf numFmtId="0" fontId="17" fillId="0" borderId="5" xfId="0" applyFont="1" applyBorder="1" applyAlignment="1">
      <alignment wrapText="1"/>
    </xf>
    <xf numFmtId="0" fontId="17" fillId="0" borderId="4" xfId="0" applyFont="1" applyBorder="1"/>
    <xf numFmtId="0" fontId="17" fillId="0" borderId="0" xfId="0" applyFont="1" applyAlignment="1">
      <alignment wrapText="1"/>
    </xf>
    <xf numFmtId="0" fontId="21" fillId="0" borderId="0" xfId="0" applyFont="1" applyAlignment="1">
      <alignment wrapText="1"/>
    </xf>
    <xf numFmtId="0" fontId="22" fillId="0" borderId="0" xfId="0" applyFont="1"/>
    <xf numFmtId="0" fontId="11" fillId="0" borderId="0" xfId="0" applyFont="1" applyBorder="1" applyAlignment="1">
      <alignment horizontal="justify" vertical="center" wrapText="1"/>
    </xf>
    <xf numFmtId="0" fontId="14" fillId="5" borderId="12" xfId="0" applyFont="1" applyFill="1" applyBorder="1" applyAlignment="1">
      <alignment horizontal="center" wrapText="1"/>
    </xf>
    <xf numFmtId="0" fontId="1" fillId="5" borderId="12" xfId="0" applyFont="1" applyFill="1" applyBorder="1" applyAlignment="1" applyProtection="1">
      <alignment horizontal="left" vertical="center"/>
    </xf>
    <xf numFmtId="0" fontId="4" fillId="6" borderId="12" xfId="0" applyFont="1" applyFill="1" applyBorder="1" applyAlignment="1" applyProtection="1">
      <alignment horizontal="center" vertical="center" wrapText="1"/>
    </xf>
    <xf numFmtId="0" fontId="4" fillId="6" borderId="12" xfId="0" applyFont="1" applyFill="1" applyBorder="1" applyAlignment="1" applyProtection="1">
      <alignment horizontal="center" vertical="center"/>
    </xf>
    <xf numFmtId="0" fontId="4" fillId="6" borderId="12" xfId="0" applyFont="1" applyFill="1" applyBorder="1" applyAlignment="1" applyProtection="1">
      <alignment horizontal="left" vertical="center"/>
    </xf>
    <xf numFmtId="0" fontId="2" fillId="7" borderId="12" xfId="0" applyFont="1" applyFill="1" applyBorder="1" applyAlignment="1" applyProtection="1">
      <alignment horizontal="center" vertical="center" wrapText="1"/>
      <protection locked="0"/>
    </xf>
    <xf numFmtId="0" fontId="15" fillId="7" borderId="12" xfId="0" applyFont="1" applyFill="1" applyBorder="1" applyAlignment="1">
      <alignment horizontal="center" wrapText="1"/>
    </xf>
    <xf numFmtId="0" fontId="12" fillId="7" borderId="12" xfId="0" applyFont="1" applyFill="1" applyBorder="1" applyAlignment="1">
      <alignment horizontal="center" wrapText="1"/>
    </xf>
    <xf numFmtId="0" fontId="2" fillId="0" borderId="12" xfId="0" applyFont="1" applyBorder="1" applyAlignment="1" applyProtection="1">
      <alignment horizontal="left" vertical="center" wrapText="1"/>
    </xf>
    <xf numFmtId="0" fontId="4" fillId="6" borderId="12" xfId="0" applyFont="1" applyFill="1" applyBorder="1" applyAlignment="1" applyProtection="1">
      <alignment horizontal="left" vertical="center"/>
    </xf>
    <xf numFmtId="0" fontId="2" fillId="0" borderId="12" xfId="0" applyFont="1" applyBorder="1" applyAlignment="1" applyProtection="1">
      <alignment horizontal="justify" vertical="center" wrapText="1"/>
    </xf>
    <xf numFmtId="0" fontId="4" fillId="6" borderId="12" xfId="0" applyFont="1" applyFill="1" applyBorder="1" applyAlignment="1" applyProtection="1">
      <alignment horizontal="justify" vertical="center"/>
    </xf>
    <xf numFmtId="0" fontId="2" fillId="0" borderId="12" xfId="0" applyFont="1" applyBorder="1" applyAlignment="1" applyProtection="1">
      <alignment horizontal="center" vertical="center"/>
    </xf>
    <xf numFmtId="0" fontId="2" fillId="0" borderId="15" xfId="0" applyFont="1" applyBorder="1" applyAlignment="1" applyProtection="1">
      <alignment horizontal="justify" vertical="center" wrapText="1"/>
    </xf>
    <xf numFmtId="0" fontId="2" fillId="0" borderId="16" xfId="0" applyFont="1" applyBorder="1" applyAlignment="1" applyProtection="1">
      <alignment horizontal="justify" vertical="center" wrapText="1"/>
    </xf>
    <xf numFmtId="0" fontId="2" fillId="0" borderId="12" xfId="0" applyFont="1" applyBorder="1" applyAlignment="1" applyProtection="1">
      <alignment horizontal="center" vertical="center" wrapText="1"/>
    </xf>
    <xf numFmtId="0" fontId="0" fillId="0" borderId="12" xfId="0" applyBorder="1" applyAlignment="1" applyProtection="1">
      <alignment horizontal="center"/>
    </xf>
    <xf numFmtId="0" fontId="11" fillId="7" borderId="12" xfId="0" applyFont="1" applyFill="1" applyBorder="1" applyAlignment="1" applyProtection="1">
      <alignment horizontal="center"/>
      <protection locked="0"/>
    </xf>
    <xf numFmtId="1" fontId="10" fillId="0" borderId="13" xfId="0" applyNumberFormat="1" applyFont="1" applyBorder="1" applyAlignment="1" applyProtection="1">
      <alignment horizontal="center" vertical="center" wrapText="1"/>
    </xf>
    <xf numFmtId="1" fontId="10" fillId="0" borderId="18" xfId="0" applyNumberFormat="1" applyFont="1" applyBorder="1" applyAlignment="1" applyProtection="1">
      <alignment horizontal="center" vertical="center" wrapText="1"/>
    </xf>
    <xf numFmtId="1" fontId="10" fillId="0" borderId="14" xfId="0" applyNumberFormat="1" applyFont="1" applyBorder="1" applyAlignment="1" applyProtection="1">
      <alignment horizontal="center" vertical="center" wrapText="1"/>
    </xf>
    <xf numFmtId="0" fontId="1" fillId="5" borderId="12" xfId="0" applyFont="1" applyFill="1" applyBorder="1" applyAlignment="1" applyProtection="1">
      <alignment horizontal="center" vertical="center" wrapText="1"/>
    </xf>
    <xf numFmtId="164" fontId="2" fillId="0" borderId="12" xfId="0" applyNumberFormat="1" applyFont="1" applyBorder="1" applyAlignment="1" applyProtection="1">
      <alignment horizontal="center" vertical="center" wrapText="1"/>
    </xf>
    <xf numFmtId="165" fontId="2" fillId="0" borderId="12" xfId="0" applyNumberFormat="1" applyFont="1" applyBorder="1" applyAlignment="1" applyProtection="1">
      <alignment horizontal="center" vertical="center" wrapText="1"/>
    </xf>
    <xf numFmtId="0" fontId="2" fillId="0" borderId="12" xfId="0" applyFont="1" applyBorder="1" applyAlignment="1" applyProtection="1">
      <alignment horizontal="left" vertical="top" wrapText="1"/>
    </xf>
    <xf numFmtId="0" fontId="1" fillId="5" borderId="12" xfId="0" applyFont="1" applyFill="1" applyBorder="1" applyAlignment="1" applyProtection="1">
      <alignment horizontal="center" vertical="center"/>
    </xf>
    <xf numFmtId="0" fontId="13" fillId="0" borderId="12" xfId="0" applyFont="1" applyBorder="1" applyAlignment="1" applyProtection="1">
      <alignment horizontal="center" vertical="center"/>
    </xf>
    <xf numFmtId="0" fontId="2" fillId="0" borderId="15"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22"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1" fillId="5" borderId="13"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1" fillId="5" borderId="13" xfId="0" applyFont="1" applyFill="1" applyBorder="1" applyAlignment="1" applyProtection="1">
      <alignment horizontal="center" vertical="center"/>
    </xf>
    <xf numFmtId="0" fontId="1" fillId="5" borderId="18" xfId="0" applyFont="1" applyFill="1" applyBorder="1" applyAlignment="1" applyProtection="1">
      <alignment horizontal="center" vertical="center"/>
    </xf>
    <xf numFmtId="0" fontId="1" fillId="5" borderId="14" xfId="0" applyFont="1" applyFill="1" applyBorder="1" applyAlignment="1" applyProtection="1">
      <alignment horizontal="center" vertical="center"/>
    </xf>
    <xf numFmtId="1" fontId="2" fillId="0" borderId="12" xfId="0" applyNumberFormat="1" applyFont="1" applyBorder="1" applyAlignment="1" applyProtection="1">
      <alignment horizontal="center" vertical="center" wrapText="1"/>
    </xf>
    <xf numFmtId="0" fontId="2" fillId="7" borderId="12" xfId="0" applyFont="1" applyFill="1" applyBorder="1" applyAlignment="1" applyProtection="1">
      <alignment horizontal="left" vertical="center"/>
      <protection locked="0"/>
    </xf>
    <xf numFmtId="0" fontId="2" fillId="7" borderId="12" xfId="0" applyFont="1" applyFill="1" applyBorder="1" applyAlignment="1" applyProtection="1">
      <alignment horizontal="center" vertical="center" wrapText="1"/>
      <protection locked="0"/>
    </xf>
    <xf numFmtId="0" fontId="2" fillId="0" borderId="12" xfId="0" applyFont="1" applyBorder="1" applyAlignment="1" applyProtection="1">
      <alignment horizontal="left" vertical="center"/>
    </xf>
    <xf numFmtId="0" fontId="11" fillId="7" borderId="12" xfId="0" applyFont="1" applyFill="1" applyBorder="1" applyAlignment="1" applyProtection="1">
      <alignment horizontal="left" vertical="top" wrapText="1"/>
      <protection locked="0"/>
    </xf>
    <xf numFmtId="0" fontId="6" fillId="0" borderId="12" xfId="0" applyFont="1" applyBorder="1" applyAlignment="1" applyProtection="1">
      <alignment horizontal="center"/>
    </xf>
    <xf numFmtId="0" fontId="4" fillId="6" borderId="12" xfId="0" applyFont="1" applyFill="1" applyBorder="1" applyAlignment="1" applyProtection="1">
      <alignment horizontal="center" vertical="center" wrapText="1"/>
    </xf>
    <xf numFmtId="0" fontId="0" fillId="0" borderId="20" xfId="0" applyBorder="1" applyAlignment="1" applyProtection="1">
      <alignment horizontal="center"/>
    </xf>
    <xf numFmtId="0" fontId="2" fillId="0" borderId="13"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1" fillId="5" borderId="18" xfId="0" applyFont="1" applyFill="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4" fillId="6" borderId="13" xfId="0" applyFont="1" applyFill="1" applyBorder="1" applyAlignment="1" applyProtection="1">
      <alignment horizontal="center" vertical="center"/>
    </xf>
    <xf numFmtId="0" fontId="4" fillId="6" borderId="18" xfId="0" applyFont="1" applyFill="1" applyBorder="1" applyAlignment="1" applyProtection="1">
      <alignment horizontal="center" vertical="center"/>
    </xf>
    <xf numFmtId="0" fontId="4" fillId="6" borderId="14" xfId="0" applyFont="1" applyFill="1" applyBorder="1" applyAlignment="1" applyProtection="1">
      <alignment horizontal="center" vertical="center"/>
    </xf>
    <xf numFmtId="0" fontId="2" fillId="0" borderId="17" xfId="0" applyFont="1" applyBorder="1" applyAlignment="1" applyProtection="1">
      <alignment horizontal="center" vertical="center"/>
    </xf>
    <xf numFmtId="0" fontId="2" fillId="7" borderId="13"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vertical="center" wrapText="1"/>
      <protection locked="0"/>
    </xf>
    <xf numFmtId="0" fontId="11" fillId="7" borderId="12" xfId="0" applyFont="1" applyFill="1" applyBorder="1" applyAlignment="1" applyProtection="1">
      <alignment horizontal="left" vertical="top"/>
      <protection locked="0"/>
    </xf>
    <xf numFmtId="2" fontId="2" fillId="0" borderId="12" xfId="0" applyNumberFormat="1" applyFont="1" applyBorder="1" applyAlignment="1" applyProtection="1">
      <alignment horizontal="center" vertical="center" wrapText="1"/>
    </xf>
    <xf numFmtId="0" fontId="0" fillId="0" borderId="13" xfId="0" applyBorder="1" applyAlignment="1" applyProtection="1">
      <alignment horizontal="center"/>
    </xf>
    <xf numFmtId="0" fontId="0" fillId="0" borderId="18" xfId="0" applyBorder="1" applyAlignment="1" applyProtection="1">
      <alignment horizontal="center"/>
    </xf>
    <xf numFmtId="0" fontId="0" fillId="0" borderId="14" xfId="0" applyBorder="1" applyAlignment="1" applyProtection="1">
      <alignment horizontal="center"/>
    </xf>
    <xf numFmtId="0" fontId="24" fillId="0" borderId="0" xfId="0" applyFont="1" applyBorder="1" applyAlignment="1">
      <alignment horizontal="justify" vertical="center" wrapText="1"/>
    </xf>
  </cellXfs>
  <cellStyles count="3">
    <cellStyle name="Normal" xfId="0" builtinId="0"/>
    <cellStyle name="Normal 10" xfId="1"/>
    <cellStyle name="Percent 2" xfId="2"/>
  </cellStyles>
  <dxfs count="0"/>
  <tableStyles count="0" defaultTableStyle="TableStyleMedium2" defaultPivotStyle="PivotStyleLight16"/>
  <colors>
    <mruColors>
      <color rgb="FF305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287872</xdr:colOff>
      <xdr:row>1</xdr:row>
      <xdr:rowOff>20207</xdr:rowOff>
    </xdr:from>
    <xdr:to>
      <xdr:col>2</xdr:col>
      <xdr:colOff>1421865</xdr:colOff>
      <xdr:row>2</xdr:row>
      <xdr:rowOff>251697</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6972" y="210707"/>
          <a:ext cx="1133993" cy="56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96610</xdr:colOff>
      <xdr:row>1</xdr:row>
      <xdr:rowOff>32657</xdr:rowOff>
    </xdr:from>
    <xdr:to>
      <xdr:col>2</xdr:col>
      <xdr:colOff>1230603</xdr:colOff>
      <xdr:row>2</xdr:row>
      <xdr:rowOff>283197</xdr:rowOff>
    </xdr:to>
    <xdr:pic>
      <xdr:nvPicPr>
        <xdr:cNvPr id="3" name="Picture 2">
          <a:extLst>
            <a:ext uri="{FF2B5EF4-FFF2-40B4-BE49-F238E27FC236}">
              <a16:creationId xmlns:a16="http://schemas.microsoft.com/office/drawing/2014/main" id="{5027BAD1-216A-47E4-AD2F-AC5B3087B7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210" y="223157"/>
          <a:ext cx="1133993" cy="56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115956</xdr:colOff>
      <xdr:row>1</xdr:row>
      <xdr:rowOff>33131</xdr:rowOff>
    </xdr:from>
    <xdr:to>
      <xdr:col>2</xdr:col>
      <xdr:colOff>1249949</xdr:colOff>
      <xdr:row>2</xdr:row>
      <xdr:rowOff>283257</xdr:rowOff>
    </xdr:to>
    <xdr:pic>
      <xdr:nvPicPr>
        <xdr:cNvPr id="4" name="Picture 3">
          <a:extLst>
            <a:ext uri="{FF2B5EF4-FFF2-40B4-BE49-F238E27FC236}">
              <a16:creationId xmlns:a16="http://schemas.microsoft.com/office/drawing/2014/main" id="{A7BCC046-08C5-4D38-91D1-28453776E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09869" y="223631"/>
          <a:ext cx="1133993" cy="56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1</xdr:row>
      <xdr:rowOff>24850</xdr:rowOff>
    </xdr:from>
    <xdr:to>
      <xdr:col>2</xdr:col>
      <xdr:colOff>1267239</xdr:colOff>
      <xdr:row>2</xdr:row>
      <xdr:rowOff>246457</xdr:rowOff>
    </xdr:to>
    <xdr:pic>
      <xdr:nvPicPr>
        <xdr:cNvPr id="4" name="Picture 3">
          <a:extLst>
            <a:ext uri="{FF2B5EF4-FFF2-40B4-BE49-F238E27FC236}">
              <a16:creationId xmlns:a16="http://schemas.microsoft.com/office/drawing/2014/main" id="{C99209E6-1659-4345-96EC-14F34E5DB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20587" y="149089"/>
          <a:ext cx="1076739" cy="53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315057</xdr:colOff>
      <xdr:row>1</xdr:row>
      <xdr:rowOff>21980</xdr:rowOff>
    </xdr:from>
    <xdr:to>
      <xdr:col>2</xdr:col>
      <xdr:colOff>1449050</xdr:colOff>
      <xdr:row>2</xdr:row>
      <xdr:rowOff>249807</xdr:rowOff>
    </xdr:to>
    <xdr:pic>
      <xdr:nvPicPr>
        <xdr:cNvPr id="3" name="Picture 2">
          <a:extLst>
            <a:ext uri="{FF2B5EF4-FFF2-40B4-BE49-F238E27FC236}">
              <a16:creationId xmlns:a16="http://schemas.microsoft.com/office/drawing/2014/main" id="{55BB3FBB-622A-4044-9A23-E1F18F587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32692" y="212480"/>
          <a:ext cx="1133993" cy="56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457199</xdr:colOff>
      <xdr:row>1</xdr:row>
      <xdr:rowOff>57150</xdr:rowOff>
    </xdr:from>
    <xdr:to>
      <xdr:col>2</xdr:col>
      <xdr:colOff>876299</xdr:colOff>
      <xdr:row>2</xdr:row>
      <xdr:rowOff>316850</xdr:rowOff>
    </xdr:to>
    <xdr:pic>
      <xdr:nvPicPr>
        <xdr:cNvPr id="5" name="Picture 4">
          <a:extLst>
            <a:ext uri="{FF2B5EF4-FFF2-40B4-BE49-F238E27FC236}">
              <a16:creationId xmlns:a16="http://schemas.microsoft.com/office/drawing/2014/main" id="{15C54925-526D-4025-89A0-2A4F273164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66799" y="247650"/>
          <a:ext cx="1190625" cy="59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476251</xdr:colOff>
      <xdr:row>1</xdr:row>
      <xdr:rowOff>36634</xdr:rowOff>
    </xdr:from>
    <xdr:to>
      <xdr:col>2</xdr:col>
      <xdr:colOff>1184115</xdr:colOff>
      <xdr:row>2</xdr:row>
      <xdr:rowOff>322384</xdr:rowOff>
    </xdr:to>
    <xdr:pic>
      <xdr:nvPicPr>
        <xdr:cNvPr id="3" name="Picture 2">
          <a:extLst>
            <a:ext uri="{FF2B5EF4-FFF2-40B4-BE49-F238E27FC236}">
              <a16:creationId xmlns:a16="http://schemas.microsoft.com/office/drawing/2014/main" id="{FC6EFB2B-839A-482E-ADFE-2B0AF0C40F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4386" y="227134"/>
          <a:ext cx="1191441" cy="593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D28"/>
  <sheetViews>
    <sheetView showGridLines="0" tabSelected="1" zoomScale="130" zoomScaleNormal="130" zoomScaleSheetLayoutView="130" workbookViewId="0">
      <selection activeCell="C15" sqref="C15"/>
    </sheetView>
  </sheetViews>
  <sheetFormatPr defaultRowHeight="15"/>
  <cols>
    <col min="1" max="1" width="2.7109375" style="63" customWidth="1"/>
    <col min="2" max="2" width="2.5703125" style="63" customWidth="1"/>
    <col min="3" max="3" width="110" style="63" customWidth="1"/>
    <col min="4" max="4" width="2.140625" style="63" customWidth="1"/>
    <col min="5" max="16384" width="9.140625" style="63"/>
  </cols>
  <sheetData>
    <row r="1" spans="2:4" s="46" customFormat="1" ht="10.5" customHeight="1" thickBot="1"/>
    <row r="2" spans="2:4" s="46" customFormat="1" ht="59.25" customHeight="1" thickBot="1">
      <c r="B2" s="47"/>
      <c r="C2" s="48" t="s">
        <v>219</v>
      </c>
      <c r="D2" s="49"/>
    </row>
    <row r="3" spans="2:4" s="46" customFormat="1" ht="12" customHeight="1" thickBot="1"/>
    <row r="4" spans="2:4" s="46" customFormat="1" ht="9" customHeight="1">
      <c r="B4" s="50"/>
      <c r="C4" s="51"/>
      <c r="D4" s="52"/>
    </row>
    <row r="5" spans="2:4" s="46" customFormat="1" ht="18">
      <c r="B5" s="53"/>
      <c r="C5" s="54" t="s">
        <v>119</v>
      </c>
      <c r="D5" s="55"/>
    </row>
    <row r="6" spans="2:4" s="46" customFormat="1" ht="84" customHeight="1">
      <c r="B6" s="53"/>
      <c r="C6" s="64" t="s">
        <v>120</v>
      </c>
      <c r="D6" s="55"/>
    </row>
    <row r="7" spans="2:4" s="46" customFormat="1" ht="12.75">
      <c r="B7" s="53"/>
      <c r="C7" s="56"/>
      <c r="D7" s="55"/>
    </row>
    <row r="8" spans="2:4" s="46" customFormat="1" ht="25.5">
      <c r="B8" s="53"/>
      <c r="C8" s="56" t="s">
        <v>209</v>
      </c>
      <c r="D8" s="55"/>
    </row>
    <row r="9" spans="2:4" s="46" customFormat="1" ht="12.75">
      <c r="B9" s="53"/>
      <c r="C9" s="56"/>
      <c r="D9" s="55"/>
    </row>
    <row r="10" spans="2:4" s="46" customFormat="1" ht="12.75">
      <c r="B10" s="53"/>
      <c r="C10" s="57" t="s">
        <v>121</v>
      </c>
      <c r="D10" s="55"/>
    </row>
    <row r="11" spans="2:4" s="46" customFormat="1" ht="12.75">
      <c r="B11" s="53"/>
      <c r="C11" s="56"/>
      <c r="D11" s="55"/>
    </row>
    <row r="12" spans="2:4" s="46" customFormat="1" ht="12.75">
      <c r="B12" s="53"/>
      <c r="C12" s="56" t="s">
        <v>122</v>
      </c>
      <c r="D12" s="55"/>
    </row>
    <row r="13" spans="2:4" s="46" customFormat="1" ht="12.75">
      <c r="B13" s="53"/>
      <c r="C13" s="56"/>
      <c r="D13" s="55"/>
    </row>
    <row r="14" spans="2:4" s="46" customFormat="1" ht="18">
      <c r="B14" s="53"/>
      <c r="C14" s="54" t="s">
        <v>118</v>
      </c>
      <c r="D14" s="55"/>
    </row>
    <row r="15" spans="2:4" s="46" customFormat="1" ht="67.5" customHeight="1">
      <c r="B15" s="53"/>
      <c r="C15" s="136" t="s">
        <v>220</v>
      </c>
      <c r="D15" s="55"/>
    </row>
    <row r="16" spans="2:4" s="46" customFormat="1" ht="8.25" customHeight="1" thickBot="1">
      <c r="B16" s="58"/>
      <c r="C16" s="59"/>
      <c r="D16" s="60"/>
    </row>
    <row r="17" spans="3:3" s="46" customFormat="1" ht="12.75">
      <c r="C17" s="61"/>
    </row>
    <row r="18" spans="3:3" s="46" customFormat="1" ht="12.75">
      <c r="C18" s="61"/>
    </row>
    <row r="19" spans="3:3">
      <c r="C19" s="62"/>
    </row>
    <row r="20" spans="3:3">
      <c r="C20" s="62"/>
    </row>
    <row r="21" spans="3:3">
      <c r="C21" s="62"/>
    </row>
    <row r="22" spans="3:3">
      <c r="C22" s="62"/>
    </row>
    <row r="23" spans="3:3">
      <c r="C23" s="62"/>
    </row>
    <row r="24" spans="3:3">
      <c r="C24" s="62"/>
    </row>
    <row r="25" spans="3:3">
      <c r="C25" s="62"/>
    </row>
    <row r="26" spans="3:3">
      <c r="C26" s="62"/>
    </row>
    <row r="27" spans="3:3">
      <c r="C27" s="62"/>
    </row>
    <row r="28" spans="3:3">
      <c r="C28" s="62"/>
    </row>
  </sheetData>
  <sheetProtection selectLockedCells="1"/>
  <pageMargins left="0.7" right="0.7" top="0.75" bottom="0.75" header="0.3" footer="0.3"/>
  <pageSetup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39"/>
  <sheetViews>
    <sheetView showGridLines="0" zoomScaleNormal="100" workbookViewId="0"/>
  </sheetViews>
  <sheetFormatPr defaultColWidth="8.7109375" defaultRowHeight="15"/>
  <cols>
    <col min="1" max="1" width="3" style="1" customWidth="1"/>
    <col min="2" max="2" width="3.28515625" style="13" bestFit="1" customWidth="1"/>
    <col min="3" max="3" width="29.28515625" style="1" customWidth="1"/>
    <col min="4" max="4" width="19.7109375" style="1" customWidth="1"/>
    <col min="5" max="5" width="16.140625" style="1" customWidth="1"/>
    <col min="6" max="6" width="14.5703125" style="13" customWidth="1"/>
    <col min="7" max="7" width="8" style="1" customWidth="1"/>
    <col min="8" max="10" width="8.7109375" style="1"/>
    <col min="11" max="11" width="13.5703125" style="1" customWidth="1"/>
    <col min="12" max="16384" width="8.7109375" style="1"/>
  </cols>
  <sheetData>
    <row r="1" spans="1:8">
      <c r="A1" s="19"/>
      <c r="B1" s="20"/>
      <c r="C1" s="19"/>
      <c r="D1" s="19"/>
      <c r="E1" s="19"/>
      <c r="F1" s="20"/>
      <c r="G1" s="19"/>
      <c r="H1" s="19"/>
    </row>
    <row r="2" spans="1:8" ht="26.25" customHeight="1">
      <c r="A2" s="19"/>
      <c r="B2" s="81"/>
      <c r="C2" s="81"/>
      <c r="D2" s="21" t="s">
        <v>123</v>
      </c>
      <c r="E2" s="82"/>
      <c r="F2" s="82"/>
      <c r="G2" s="82"/>
      <c r="H2" s="19"/>
    </row>
    <row r="3" spans="1:8" ht="20.25" customHeight="1">
      <c r="A3" s="19"/>
      <c r="B3" s="81"/>
      <c r="C3" s="81"/>
      <c r="D3" s="21" t="s">
        <v>124</v>
      </c>
      <c r="E3" s="82"/>
      <c r="F3" s="82"/>
      <c r="G3" s="82"/>
      <c r="H3" s="19"/>
    </row>
    <row r="4" spans="1:8">
      <c r="A4" s="19"/>
      <c r="B4" s="66" t="s">
        <v>0</v>
      </c>
      <c r="C4" s="66"/>
      <c r="D4" s="66"/>
      <c r="E4" s="86" t="s">
        <v>1</v>
      </c>
      <c r="F4" s="86"/>
      <c r="G4" s="86"/>
      <c r="H4" s="19"/>
    </row>
    <row r="5" spans="1:8">
      <c r="A5" s="19"/>
      <c r="B5" s="22">
        <v>1</v>
      </c>
      <c r="C5" s="75" t="s">
        <v>2</v>
      </c>
      <c r="D5" s="75"/>
      <c r="E5" s="75"/>
      <c r="F5" s="70"/>
      <c r="G5" s="23" t="s">
        <v>3</v>
      </c>
      <c r="H5" s="19"/>
    </row>
    <row r="6" spans="1:8" ht="27.75" customHeight="1">
      <c r="A6" s="19"/>
      <c r="B6" s="22">
        <v>2</v>
      </c>
      <c r="C6" s="75" t="s">
        <v>4</v>
      </c>
      <c r="D6" s="75"/>
      <c r="E6" s="75"/>
      <c r="F6" s="70"/>
      <c r="G6" s="23"/>
      <c r="H6" s="19"/>
    </row>
    <row r="7" spans="1:8">
      <c r="A7" s="19"/>
      <c r="B7" s="22">
        <v>3</v>
      </c>
      <c r="C7" s="75" t="s">
        <v>5</v>
      </c>
      <c r="D7" s="75"/>
      <c r="E7" s="75"/>
      <c r="F7" s="70"/>
      <c r="G7" s="23" t="s">
        <v>6</v>
      </c>
      <c r="H7" s="19"/>
    </row>
    <row r="8" spans="1:8">
      <c r="A8" s="19"/>
      <c r="B8" s="22">
        <v>4</v>
      </c>
      <c r="C8" s="75" t="s">
        <v>7</v>
      </c>
      <c r="D8" s="75"/>
      <c r="E8" s="75"/>
      <c r="F8" s="18">
        <f>(F5*F6*(F7/12))</f>
        <v>0</v>
      </c>
      <c r="G8" s="23" t="s">
        <v>8</v>
      </c>
      <c r="H8" s="19"/>
    </row>
    <row r="9" spans="1:8">
      <c r="A9" s="19"/>
      <c r="B9" s="76" t="s">
        <v>9</v>
      </c>
      <c r="C9" s="76"/>
      <c r="D9" s="76"/>
      <c r="E9" s="76"/>
      <c r="F9" s="76"/>
      <c r="G9" s="76"/>
      <c r="H9" s="19"/>
    </row>
    <row r="10" spans="1:8">
      <c r="A10" s="19"/>
      <c r="B10" s="22">
        <v>5</v>
      </c>
      <c r="C10" s="75" t="s">
        <v>10</v>
      </c>
      <c r="D10" s="75"/>
      <c r="E10" s="75"/>
      <c r="F10" s="70"/>
      <c r="G10" s="23" t="s">
        <v>6</v>
      </c>
      <c r="H10" s="19"/>
    </row>
    <row r="11" spans="1:8" ht="33.950000000000003" customHeight="1">
      <c r="A11" s="19"/>
      <c r="B11" s="22">
        <v>6</v>
      </c>
      <c r="C11" s="75" t="s">
        <v>113</v>
      </c>
      <c r="D11" s="75"/>
      <c r="E11" s="75"/>
      <c r="F11" s="70"/>
      <c r="G11" s="23" t="s">
        <v>6</v>
      </c>
      <c r="H11" s="19"/>
    </row>
    <row r="12" spans="1:8" ht="40.5" customHeight="1">
      <c r="A12" s="19"/>
      <c r="B12" s="22">
        <v>7</v>
      </c>
      <c r="C12" s="75" t="s">
        <v>114</v>
      </c>
      <c r="D12" s="75"/>
      <c r="E12" s="75"/>
      <c r="F12" s="70"/>
      <c r="G12" s="23" t="s">
        <v>6</v>
      </c>
      <c r="H12" s="19"/>
    </row>
    <row r="13" spans="1:8" ht="29.25" customHeight="1">
      <c r="A13" s="19"/>
      <c r="B13" s="22">
        <v>8</v>
      </c>
      <c r="C13" s="75" t="s">
        <v>11</v>
      </c>
      <c r="D13" s="75"/>
      <c r="E13" s="75"/>
      <c r="F13" s="70"/>
      <c r="G13" s="23" t="s">
        <v>6</v>
      </c>
      <c r="H13" s="19"/>
    </row>
    <row r="14" spans="1:8" ht="17.25" customHeight="1">
      <c r="A14" s="19"/>
      <c r="B14" s="22">
        <v>9</v>
      </c>
      <c r="C14" s="75" t="s">
        <v>12</v>
      </c>
      <c r="D14" s="75"/>
      <c r="E14" s="75"/>
      <c r="F14" s="24">
        <v>0.2</v>
      </c>
      <c r="G14" s="23" t="s">
        <v>13</v>
      </c>
      <c r="H14" s="19"/>
    </row>
    <row r="15" spans="1:8" ht="17.100000000000001" customHeight="1">
      <c r="A15" s="19"/>
      <c r="B15" s="22">
        <v>10</v>
      </c>
      <c r="C15" s="75" t="s">
        <v>14</v>
      </c>
      <c r="D15" s="75"/>
      <c r="E15" s="75"/>
      <c r="F15" s="24">
        <v>0.4</v>
      </c>
      <c r="G15" s="23" t="s">
        <v>13</v>
      </c>
      <c r="H15" s="19"/>
    </row>
    <row r="16" spans="1:8" ht="57.95" customHeight="1">
      <c r="A16" s="19"/>
      <c r="B16" s="22">
        <v>11</v>
      </c>
      <c r="C16" s="75" t="s">
        <v>115</v>
      </c>
      <c r="D16" s="75"/>
      <c r="E16" s="75"/>
      <c r="F16" s="70"/>
      <c r="G16" s="23" t="s">
        <v>15</v>
      </c>
      <c r="H16" s="19"/>
    </row>
    <row r="17" spans="1:8">
      <c r="A17" s="19"/>
      <c r="B17" s="76" t="s">
        <v>16</v>
      </c>
      <c r="C17" s="76"/>
      <c r="D17" s="76"/>
      <c r="E17" s="76"/>
      <c r="F17" s="76"/>
      <c r="G17" s="76"/>
      <c r="H17" s="19"/>
    </row>
    <row r="18" spans="1:8">
      <c r="A18" s="19"/>
      <c r="B18" s="22">
        <v>12</v>
      </c>
      <c r="C18" s="75" t="s">
        <v>17</v>
      </c>
      <c r="D18" s="75"/>
      <c r="E18" s="75"/>
      <c r="F18" s="24">
        <v>6</v>
      </c>
      <c r="G18" s="23" t="s">
        <v>18</v>
      </c>
      <c r="H18" s="19"/>
    </row>
    <row r="19" spans="1:8">
      <c r="A19" s="19"/>
      <c r="B19" s="22">
        <v>13</v>
      </c>
      <c r="C19" s="75" t="s">
        <v>19</v>
      </c>
      <c r="D19" s="75"/>
      <c r="E19" s="75"/>
      <c r="F19" s="24">
        <f>F16*F18</f>
        <v>0</v>
      </c>
      <c r="G19" s="23" t="s">
        <v>6</v>
      </c>
      <c r="H19" s="19"/>
    </row>
    <row r="20" spans="1:8">
      <c r="A20" s="19"/>
      <c r="B20" s="77">
        <v>14</v>
      </c>
      <c r="C20" s="78" t="s">
        <v>20</v>
      </c>
      <c r="D20" s="78"/>
      <c r="E20" s="78"/>
      <c r="F20" s="80">
        <f>F10+(F11*F14)+(F12*F15)+(F13*F15)</f>
        <v>0</v>
      </c>
      <c r="G20" s="75" t="s">
        <v>6</v>
      </c>
      <c r="H20" s="19"/>
    </row>
    <row r="21" spans="1:8">
      <c r="A21" s="19"/>
      <c r="B21" s="77"/>
      <c r="C21" s="79" t="s">
        <v>21</v>
      </c>
      <c r="D21" s="79"/>
      <c r="E21" s="79"/>
      <c r="F21" s="80"/>
      <c r="G21" s="75"/>
      <c r="H21" s="19"/>
    </row>
    <row r="22" spans="1:8">
      <c r="A22" s="19"/>
      <c r="B22" s="22">
        <v>15</v>
      </c>
      <c r="C22" s="75" t="s">
        <v>22</v>
      </c>
      <c r="D22" s="75"/>
      <c r="E22" s="75"/>
      <c r="F22" s="24">
        <f>F19+F20</f>
        <v>0</v>
      </c>
      <c r="G22" s="23" t="s">
        <v>6</v>
      </c>
      <c r="H22" s="19"/>
    </row>
    <row r="23" spans="1:8">
      <c r="A23" s="19"/>
      <c r="B23" s="74" t="s">
        <v>23</v>
      </c>
      <c r="C23" s="74"/>
      <c r="D23" s="74"/>
      <c r="E23" s="74"/>
      <c r="F23" s="74"/>
      <c r="G23" s="74"/>
      <c r="H23" s="19"/>
    </row>
    <row r="24" spans="1:8">
      <c r="A24" s="19"/>
      <c r="B24" s="22">
        <v>16</v>
      </c>
      <c r="C24" s="73" t="s">
        <v>24</v>
      </c>
      <c r="D24" s="73"/>
      <c r="E24" s="73"/>
      <c r="F24" s="18">
        <f>F8*1.5</f>
        <v>0</v>
      </c>
      <c r="G24" s="24" t="s">
        <v>8</v>
      </c>
      <c r="H24" s="19"/>
    </row>
    <row r="25" spans="1:8">
      <c r="A25" s="19"/>
      <c r="B25" s="22">
        <v>17</v>
      </c>
      <c r="C25" s="73" t="s">
        <v>25</v>
      </c>
      <c r="D25" s="73"/>
      <c r="E25" s="73"/>
      <c r="F25" s="18" t="e">
        <f>(F24/F22)*12</f>
        <v>#DIV/0!</v>
      </c>
      <c r="G25" s="24" t="s">
        <v>3</v>
      </c>
      <c r="H25" s="19"/>
    </row>
    <row r="26" spans="1:8">
      <c r="A26" s="19"/>
      <c r="B26" s="74" t="s">
        <v>26</v>
      </c>
      <c r="C26" s="74"/>
      <c r="D26" s="74"/>
      <c r="E26" s="74"/>
      <c r="F26" s="74"/>
      <c r="G26" s="74"/>
      <c r="H26" s="19"/>
    </row>
    <row r="27" spans="1:8">
      <c r="A27" s="19"/>
      <c r="B27" s="22">
        <v>18</v>
      </c>
      <c r="C27" s="73" t="s">
        <v>27</v>
      </c>
      <c r="D27" s="73"/>
      <c r="E27" s="73"/>
      <c r="F27" s="18">
        <f>0.75*F8</f>
        <v>0</v>
      </c>
      <c r="G27" s="24" t="s">
        <v>8</v>
      </c>
      <c r="H27" s="19"/>
    </row>
    <row r="28" spans="1:8">
      <c r="A28" s="19"/>
      <c r="B28" s="22">
        <v>19</v>
      </c>
      <c r="C28" s="73" t="s">
        <v>28</v>
      </c>
      <c r="D28" s="73"/>
      <c r="E28" s="73"/>
      <c r="F28" s="18" t="e">
        <f>(F27/F20)*12</f>
        <v>#DIV/0!</v>
      </c>
      <c r="G28" s="24" t="s">
        <v>3</v>
      </c>
      <c r="H28" s="19"/>
    </row>
    <row r="29" spans="1:8">
      <c r="A29" s="19"/>
      <c r="B29" s="74" t="s">
        <v>29</v>
      </c>
      <c r="C29" s="74"/>
      <c r="D29" s="74"/>
      <c r="E29" s="74"/>
      <c r="F29" s="74"/>
      <c r="G29" s="74"/>
      <c r="H29" s="19"/>
    </row>
    <row r="30" spans="1:8" ht="30" customHeight="1">
      <c r="A30" s="19"/>
      <c r="B30" s="22">
        <v>20</v>
      </c>
      <c r="C30" s="73" t="s">
        <v>126</v>
      </c>
      <c r="D30" s="73"/>
      <c r="E30" s="73"/>
      <c r="F30" s="70"/>
      <c r="G30" s="24"/>
      <c r="H30" s="19"/>
    </row>
    <row r="31" spans="1:8">
      <c r="A31" s="19"/>
      <c r="B31" s="22">
        <v>21</v>
      </c>
      <c r="C31" s="73" t="s">
        <v>30</v>
      </c>
      <c r="D31" s="73"/>
      <c r="E31" s="73"/>
      <c r="F31" s="18">
        <f>(F5*F6*F30)</f>
        <v>0</v>
      </c>
      <c r="G31" s="24" t="s">
        <v>3</v>
      </c>
      <c r="H31" s="19"/>
    </row>
    <row r="32" spans="1:8">
      <c r="A32" s="19"/>
      <c r="B32" s="22">
        <v>22</v>
      </c>
      <c r="C32" s="73" t="s">
        <v>31</v>
      </c>
      <c r="D32" s="73"/>
      <c r="E32" s="73"/>
      <c r="F32" s="18" t="e">
        <f>MAX(MIN(F25,F28),F31)</f>
        <v>#DIV/0!</v>
      </c>
      <c r="G32" s="24" t="s">
        <v>3</v>
      </c>
      <c r="H32" s="19"/>
    </row>
    <row r="33" spans="1:8">
      <c r="A33" s="19"/>
      <c r="B33" s="22">
        <v>23</v>
      </c>
      <c r="C33" s="73" t="s">
        <v>116</v>
      </c>
      <c r="D33" s="73"/>
      <c r="E33" s="73"/>
      <c r="F33" s="70"/>
      <c r="G33" s="24" t="s">
        <v>3</v>
      </c>
      <c r="H33" s="19"/>
    </row>
    <row r="34" spans="1:8" ht="21.6" customHeight="1">
      <c r="A34" s="19"/>
      <c r="B34" s="22">
        <v>24</v>
      </c>
      <c r="C34" s="27" t="s">
        <v>210</v>
      </c>
      <c r="D34" s="83" t="e">
        <f>IF(F33&lt;F32,"No, Increase the BMP Footprint", "Yes, Performance Standard is Met")</f>
        <v>#DIV/0!</v>
      </c>
      <c r="E34" s="84"/>
      <c r="F34" s="84"/>
      <c r="G34" s="85"/>
      <c r="H34" s="19"/>
    </row>
    <row r="35" spans="1:8">
      <c r="A35" s="19"/>
      <c r="B35" s="20"/>
      <c r="C35" s="19"/>
      <c r="D35" s="19"/>
      <c r="E35" s="19"/>
      <c r="F35" s="20"/>
      <c r="G35" s="19"/>
      <c r="H35" s="19"/>
    </row>
    <row r="36" spans="1:8">
      <c r="A36" s="19"/>
      <c r="B36" s="20"/>
      <c r="C36" s="19"/>
      <c r="D36" s="19"/>
      <c r="E36" s="19"/>
      <c r="F36" s="20"/>
      <c r="G36" s="19"/>
      <c r="H36" s="19"/>
    </row>
    <row r="37" spans="1:8">
      <c r="A37" s="19"/>
      <c r="B37" s="20"/>
      <c r="C37" s="19"/>
      <c r="D37" s="19"/>
      <c r="E37" s="19"/>
      <c r="F37" s="20"/>
      <c r="G37" s="19"/>
      <c r="H37" s="19"/>
    </row>
    <row r="38" spans="1:8">
      <c r="A38" s="19"/>
      <c r="B38" s="20"/>
      <c r="C38" s="19"/>
      <c r="D38" s="19"/>
      <c r="E38" s="19"/>
      <c r="F38" s="20"/>
      <c r="G38" s="19"/>
      <c r="H38" s="19"/>
    </row>
    <row r="39" spans="1:8">
      <c r="A39" s="19"/>
      <c r="B39" s="20"/>
      <c r="C39" s="19"/>
      <c r="D39" s="19"/>
      <c r="E39" s="19"/>
      <c r="F39" s="20"/>
      <c r="G39" s="19"/>
      <c r="H39" s="19"/>
    </row>
  </sheetData>
  <mergeCells count="37">
    <mergeCell ref="B2:C3"/>
    <mergeCell ref="E2:G2"/>
    <mergeCell ref="E3:G3"/>
    <mergeCell ref="D34:G34"/>
    <mergeCell ref="C33:E33"/>
    <mergeCell ref="C14:E14"/>
    <mergeCell ref="E4:G4"/>
    <mergeCell ref="C5:E5"/>
    <mergeCell ref="C6:E6"/>
    <mergeCell ref="C7:E7"/>
    <mergeCell ref="C8:E8"/>
    <mergeCell ref="B9:G9"/>
    <mergeCell ref="C10:E10"/>
    <mergeCell ref="C11:E11"/>
    <mergeCell ref="C12:E12"/>
    <mergeCell ref="C13:E13"/>
    <mergeCell ref="C27:E27"/>
    <mergeCell ref="C15:E15"/>
    <mergeCell ref="C16:E16"/>
    <mergeCell ref="B17:G17"/>
    <mergeCell ref="C18:E18"/>
    <mergeCell ref="C19:E19"/>
    <mergeCell ref="B20:B21"/>
    <mergeCell ref="C20:E20"/>
    <mergeCell ref="C21:E21"/>
    <mergeCell ref="F20:F21"/>
    <mergeCell ref="G20:G21"/>
    <mergeCell ref="C22:E22"/>
    <mergeCell ref="B23:G23"/>
    <mergeCell ref="C24:E24"/>
    <mergeCell ref="C25:E25"/>
    <mergeCell ref="B26:G26"/>
    <mergeCell ref="C28:E28"/>
    <mergeCell ref="B29:G29"/>
    <mergeCell ref="C30:E30"/>
    <mergeCell ref="C31:E31"/>
    <mergeCell ref="C32:E32"/>
  </mergeCells>
  <pageMargins left="0.25" right="0.25" top="0.75" bottom="0.75" header="0.3" footer="0.3"/>
  <pageSetup orientation="portrait" verticalDpi="1200" r:id="rId1"/>
  <headerFooter>
    <oddFooter>&amp;L&amp;D&amp;RVersion 1.0 - June 2017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7"/>
  <sheetViews>
    <sheetView showGridLines="0" topLeftCell="A4" zoomScaleNormal="100" workbookViewId="0"/>
  </sheetViews>
  <sheetFormatPr defaultColWidth="9.140625" defaultRowHeight="15"/>
  <cols>
    <col min="1" max="1" width="9.140625" style="1"/>
    <col min="2" max="2" width="5.7109375" style="13" customWidth="1"/>
    <col min="3" max="3" width="26.5703125" style="1" customWidth="1"/>
    <col min="4" max="5" width="22.5703125" style="1" customWidth="1"/>
    <col min="6" max="6" width="14.7109375" style="13" customWidth="1"/>
    <col min="7" max="7" width="12.140625" style="13" customWidth="1"/>
    <col min="8" max="16384" width="9.140625" style="1"/>
  </cols>
  <sheetData>
    <row r="1" spans="2:7">
      <c r="B1" s="20"/>
      <c r="C1" s="19"/>
      <c r="D1" s="19"/>
      <c r="E1" s="19"/>
      <c r="F1" s="20"/>
      <c r="G1" s="20"/>
    </row>
    <row r="2" spans="2:7" ht="24.75" customHeight="1">
      <c r="B2" s="81"/>
      <c r="C2" s="81"/>
      <c r="D2" s="21" t="s">
        <v>123</v>
      </c>
      <c r="E2" s="82"/>
      <c r="F2" s="82"/>
      <c r="G2" s="82"/>
    </row>
    <row r="3" spans="2:7" ht="25.5" customHeight="1">
      <c r="B3" s="81"/>
      <c r="C3" s="81"/>
      <c r="D3" s="21" t="s">
        <v>124</v>
      </c>
      <c r="E3" s="82"/>
      <c r="F3" s="82"/>
      <c r="G3" s="82"/>
    </row>
    <row r="4" spans="2:7">
      <c r="B4" s="90" t="s">
        <v>32</v>
      </c>
      <c r="C4" s="90"/>
      <c r="D4" s="90"/>
      <c r="E4" s="86" t="s">
        <v>33</v>
      </c>
      <c r="F4" s="86"/>
      <c r="G4" s="86"/>
    </row>
    <row r="5" spans="2:7">
      <c r="B5" s="30">
        <v>1</v>
      </c>
      <c r="C5" s="75" t="s">
        <v>2</v>
      </c>
      <c r="D5" s="75"/>
      <c r="E5" s="75"/>
      <c r="F5" s="70"/>
      <c r="G5" s="31" t="s">
        <v>3</v>
      </c>
    </row>
    <row r="6" spans="2:7" ht="22.5" customHeight="1">
      <c r="B6" s="30">
        <v>2</v>
      </c>
      <c r="C6" s="75" t="s">
        <v>4</v>
      </c>
      <c r="D6" s="75"/>
      <c r="E6" s="75"/>
      <c r="F6" s="70"/>
      <c r="G6" s="31"/>
    </row>
    <row r="7" spans="2:7" ht="20.25" customHeight="1">
      <c r="B7" s="30">
        <v>3</v>
      </c>
      <c r="C7" s="75" t="s">
        <v>5</v>
      </c>
      <c r="D7" s="75"/>
      <c r="E7" s="75"/>
      <c r="F7" s="70"/>
      <c r="G7" s="31" t="s">
        <v>6</v>
      </c>
    </row>
    <row r="8" spans="2:7" ht="23.25" customHeight="1">
      <c r="B8" s="30">
        <v>4</v>
      </c>
      <c r="C8" s="75" t="s">
        <v>7</v>
      </c>
      <c r="D8" s="75"/>
      <c r="E8" s="75"/>
      <c r="F8" s="33">
        <f>(F5*F6*(F7/12))</f>
        <v>0</v>
      </c>
      <c r="G8" s="31" t="s">
        <v>8</v>
      </c>
    </row>
    <row r="9" spans="2:7">
      <c r="B9" s="76" t="s">
        <v>35</v>
      </c>
      <c r="C9" s="76"/>
      <c r="D9" s="76"/>
      <c r="E9" s="76"/>
      <c r="F9" s="76"/>
      <c r="G9" s="76"/>
    </row>
    <row r="10" spans="2:7" ht="127.5" customHeight="1">
      <c r="B10" s="30">
        <v>5</v>
      </c>
      <c r="C10" s="89" t="s">
        <v>127</v>
      </c>
      <c r="D10" s="89"/>
      <c r="E10" s="89"/>
      <c r="F10" s="70"/>
      <c r="G10" s="31" t="s">
        <v>15</v>
      </c>
    </row>
    <row r="11" spans="2:7" ht="20.25" customHeight="1">
      <c r="B11" s="30">
        <v>6</v>
      </c>
      <c r="C11" s="75" t="s">
        <v>36</v>
      </c>
      <c r="D11" s="75"/>
      <c r="E11" s="75"/>
      <c r="F11" s="31">
        <v>2</v>
      </c>
      <c r="G11" s="31"/>
    </row>
    <row r="12" spans="2:7" ht="21.75" customHeight="1">
      <c r="B12" s="30">
        <v>7</v>
      </c>
      <c r="C12" s="78" t="s">
        <v>128</v>
      </c>
      <c r="D12" s="78"/>
      <c r="E12" s="78"/>
      <c r="F12" s="31">
        <f>F10/F11</f>
        <v>0</v>
      </c>
      <c r="G12" s="31" t="s">
        <v>15</v>
      </c>
    </row>
    <row r="13" spans="2:7">
      <c r="B13" s="77">
        <v>8</v>
      </c>
      <c r="C13" s="78" t="s">
        <v>37</v>
      </c>
      <c r="D13" s="78"/>
      <c r="E13" s="78"/>
      <c r="F13" s="87">
        <f>IF(F12&gt;0.01, MIN(40, 166.9*F12+6.62), 3.5)</f>
        <v>3.5</v>
      </c>
      <c r="G13" s="80" t="s">
        <v>34</v>
      </c>
    </row>
    <row r="14" spans="2:7" ht="40.5" customHeight="1">
      <c r="B14" s="77"/>
      <c r="C14" s="79" t="s">
        <v>129</v>
      </c>
      <c r="D14" s="79"/>
      <c r="E14" s="79"/>
      <c r="F14" s="87"/>
      <c r="G14" s="80"/>
    </row>
    <row r="15" spans="2:7">
      <c r="B15" s="77">
        <v>9</v>
      </c>
      <c r="C15" s="78" t="s">
        <v>38</v>
      </c>
      <c r="D15" s="78"/>
      <c r="E15" s="78"/>
      <c r="F15" s="88">
        <f>IF(F13&gt;8, ROUND(0.0000013*(F13^3) - 0.000057*(F13^2)+(0.0086*F13)- 0.014,3), 0.023)</f>
        <v>2.3E-2</v>
      </c>
      <c r="G15" s="80"/>
    </row>
    <row r="16" spans="2:7" ht="57" customHeight="1">
      <c r="B16" s="77"/>
      <c r="C16" s="79" t="s">
        <v>130</v>
      </c>
      <c r="D16" s="79"/>
      <c r="E16" s="79"/>
      <c r="F16" s="88"/>
      <c r="G16" s="80"/>
    </row>
    <row r="17" spans="2:7">
      <c r="B17" s="30">
        <v>10</v>
      </c>
      <c r="C17" s="75" t="s">
        <v>131</v>
      </c>
      <c r="D17" s="75"/>
      <c r="E17" s="75"/>
      <c r="F17" s="33">
        <f>F15*F8</f>
        <v>0</v>
      </c>
      <c r="G17" s="31" t="s">
        <v>8</v>
      </c>
    </row>
  </sheetData>
  <mergeCells count="24">
    <mergeCell ref="C5:E5"/>
    <mergeCell ref="B2:C3"/>
    <mergeCell ref="E2:G2"/>
    <mergeCell ref="E3:G3"/>
    <mergeCell ref="B4:D4"/>
    <mergeCell ref="E4:G4"/>
    <mergeCell ref="B9:G9"/>
    <mergeCell ref="C10:E10"/>
    <mergeCell ref="C11:E11"/>
    <mergeCell ref="C6:E6"/>
    <mergeCell ref="C7:E7"/>
    <mergeCell ref="C8:E8"/>
    <mergeCell ref="G15:G16"/>
    <mergeCell ref="C16:E16"/>
    <mergeCell ref="C17:E17"/>
    <mergeCell ref="C12:E12"/>
    <mergeCell ref="B13:B14"/>
    <mergeCell ref="C13:E13"/>
    <mergeCell ref="F13:F14"/>
    <mergeCell ref="B15:B16"/>
    <mergeCell ref="C15:E15"/>
    <mergeCell ref="F15:F16"/>
    <mergeCell ref="G13:G14"/>
    <mergeCell ref="C14:E14"/>
  </mergeCells>
  <pageMargins left="0.25" right="0.25" top="0.75" bottom="0.75" header="0.3" footer="0.3"/>
  <pageSetup orientation="landscape" verticalDpi="1200" r:id="rId1"/>
  <headerFooter>
    <oddFooter>&amp;L&amp;D&amp;RVersion 1.0 - June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61"/>
  <sheetViews>
    <sheetView showGridLines="0" zoomScaleNormal="100" workbookViewId="0"/>
  </sheetViews>
  <sheetFormatPr defaultColWidth="9.140625" defaultRowHeight="15"/>
  <cols>
    <col min="1" max="1" width="9.140625" style="1"/>
    <col min="2" max="2" width="5.7109375" style="13" customWidth="1"/>
    <col min="3" max="3" width="26.5703125" style="1" customWidth="1"/>
    <col min="4" max="5" width="22.5703125" style="1" customWidth="1"/>
    <col min="6" max="6" width="14.7109375" style="13" customWidth="1"/>
    <col min="7" max="7" width="12.140625" style="13" customWidth="1"/>
    <col min="8" max="10" width="9.140625" style="1"/>
    <col min="11" max="12" width="9.140625" style="1" hidden="1" customWidth="1"/>
    <col min="13" max="13" width="20.85546875" style="1" hidden="1" customWidth="1"/>
    <col min="14" max="14" width="13" style="1" hidden="1" customWidth="1"/>
    <col min="15" max="15" width="9.140625" style="1" hidden="1" customWidth="1"/>
    <col min="16" max="16" width="17.42578125" style="1" hidden="1" customWidth="1"/>
    <col min="17" max="28" width="9.140625" style="1" hidden="1" customWidth="1"/>
    <col min="29" max="50" width="9.140625" style="1" customWidth="1"/>
    <col min="51" max="16384" width="9.140625" style="1"/>
  </cols>
  <sheetData>
    <row r="1" spans="2:26">
      <c r="B1" s="20"/>
      <c r="C1" s="19"/>
      <c r="D1" s="19"/>
      <c r="E1" s="19"/>
      <c r="F1" s="20"/>
      <c r="G1" s="20"/>
    </row>
    <row r="2" spans="2:26" ht="24.75" customHeight="1">
      <c r="B2" s="81"/>
      <c r="C2" s="81"/>
      <c r="D2" s="21" t="s">
        <v>123</v>
      </c>
      <c r="E2" s="82"/>
      <c r="F2" s="82"/>
      <c r="G2" s="82"/>
    </row>
    <row r="3" spans="2:26" ht="25.5" customHeight="1">
      <c r="B3" s="81"/>
      <c r="C3" s="81"/>
      <c r="D3" s="21" t="s">
        <v>124</v>
      </c>
      <c r="E3" s="82"/>
      <c r="F3" s="82"/>
      <c r="G3" s="82"/>
    </row>
    <row r="4" spans="2:26">
      <c r="B4" s="106" t="s">
        <v>132</v>
      </c>
      <c r="C4" s="107"/>
      <c r="D4" s="107"/>
      <c r="E4" s="108"/>
      <c r="F4" s="104" t="s">
        <v>42</v>
      </c>
      <c r="G4" s="105"/>
      <c r="P4" s="2" t="s">
        <v>94</v>
      </c>
      <c r="Q4" s="3">
        <v>0.15</v>
      </c>
      <c r="R4" s="3">
        <v>0.3</v>
      </c>
      <c r="S4" s="3">
        <v>0.6</v>
      </c>
      <c r="T4" s="3">
        <v>0.9</v>
      </c>
      <c r="U4" s="3">
        <v>1.2</v>
      </c>
      <c r="V4" s="3">
        <v>2.4</v>
      </c>
      <c r="W4" s="3">
        <v>4.8</v>
      </c>
      <c r="X4" s="3">
        <v>6</v>
      </c>
      <c r="Y4" s="3">
        <v>9</v>
      </c>
      <c r="Z4" s="3">
        <v>12</v>
      </c>
    </row>
    <row r="5" spans="2:26">
      <c r="B5" s="22">
        <v>1</v>
      </c>
      <c r="C5" s="75" t="s">
        <v>2</v>
      </c>
      <c r="D5" s="75"/>
      <c r="E5" s="75"/>
      <c r="F5" s="70"/>
      <c r="G5" s="24" t="s">
        <v>3</v>
      </c>
      <c r="P5" s="3">
        <v>0.01</v>
      </c>
      <c r="Q5" s="34">
        <v>1.8753362539389731</v>
      </c>
      <c r="R5" s="4">
        <v>1.4218737990930654</v>
      </c>
      <c r="S5" s="4">
        <v>1.1144416263161907</v>
      </c>
      <c r="T5" s="4">
        <v>0.96072553992775345</v>
      </c>
      <c r="U5" s="4">
        <v>1.1989854738298273</v>
      </c>
      <c r="V5" s="4">
        <v>0</v>
      </c>
      <c r="W5" s="4">
        <v>0</v>
      </c>
      <c r="X5" s="4">
        <v>0</v>
      </c>
      <c r="Y5" s="4">
        <v>0</v>
      </c>
      <c r="Z5" s="4">
        <v>0</v>
      </c>
    </row>
    <row r="6" spans="2:26">
      <c r="B6" s="22">
        <v>2</v>
      </c>
      <c r="C6" s="75" t="s">
        <v>4</v>
      </c>
      <c r="D6" s="75"/>
      <c r="E6" s="75"/>
      <c r="F6" s="70"/>
      <c r="G6" s="24"/>
      <c r="P6" s="3">
        <v>0.1</v>
      </c>
      <c r="Q6" s="4">
        <v>15.655983398662663</v>
      </c>
      <c r="R6" s="4">
        <v>11.413419414341707</v>
      </c>
      <c r="S6" s="4">
        <v>8.6311582507109321</v>
      </c>
      <c r="T6" s="4">
        <v>7.3168857120897695</v>
      </c>
      <c r="U6" s="4">
        <v>6.4637614326339206</v>
      </c>
      <c r="V6" s="4">
        <v>4.6575974175697477</v>
      </c>
      <c r="W6" s="4">
        <v>3.1665513796018683</v>
      </c>
      <c r="X6" s="4">
        <v>2.7745753593113434</v>
      </c>
      <c r="Y6" s="4">
        <v>2.1827684267158478</v>
      </c>
      <c r="Z6" s="4">
        <v>1.8061640150641722</v>
      </c>
    </row>
    <row r="7" spans="2:26">
      <c r="B7" s="22">
        <v>3</v>
      </c>
      <c r="C7" s="75" t="s">
        <v>5</v>
      </c>
      <c r="D7" s="75"/>
      <c r="E7" s="75"/>
      <c r="F7" s="70"/>
      <c r="G7" s="24" t="s">
        <v>6</v>
      </c>
      <c r="K7" s="5"/>
      <c r="P7" s="3">
        <v>0.2</v>
      </c>
      <c r="Q7" s="4">
        <v>28.652678502805319</v>
      </c>
      <c r="R7" s="4">
        <v>20.936130966105594</v>
      </c>
      <c r="S7" s="4">
        <v>15.863500115287065</v>
      </c>
      <c r="T7" s="4">
        <v>13.465529167627386</v>
      </c>
      <c r="U7" s="4">
        <v>11.866881869187601</v>
      </c>
      <c r="V7" s="4">
        <v>8.5312427945584464</v>
      </c>
      <c r="W7" s="4">
        <v>5.8335254784413078</v>
      </c>
      <c r="X7" s="4">
        <v>5.1264314810544915</v>
      </c>
      <c r="Y7" s="4">
        <v>4.050418876335403</v>
      </c>
      <c r="Z7" s="4">
        <v>3.4201829221427906</v>
      </c>
    </row>
    <row r="8" spans="2:26">
      <c r="B8" s="22">
        <v>4</v>
      </c>
      <c r="C8" s="75" t="s">
        <v>7</v>
      </c>
      <c r="D8" s="75"/>
      <c r="E8" s="75"/>
      <c r="F8" s="18">
        <f>(F5*F6*(F7/12))</f>
        <v>0</v>
      </c>
      <c r="G8" s="24" t="s">
        <v>8</v>
      </c>
      <c r="P8" s="3">
        <v>0.4</v>
      </c>
      <c r="Q8" s="4">
        <v>49.381292752286519</v>
      </c>
      <c r="R8" s="4">
        <v>36.861117515948038</v>
      </c>
      <c r="S8" s="4">
        <v>28.245330873875947</v>
      </c>
      <c r="T8" s="4">
        <v>24.141111367304589</v>
      </c>
      <c r="U8" s="4">
        <v>21.44339405118745</v>
      </c>
      <c r="V8" s="4">
        <v>15.494581507954807</v>
      </c>
      <c r="W8" s="4">
        <v>10.60640996080239</v>
      </c>
      <c r="X8" s="4">
        <v>9.345938052417182</v>
      </c>
      <c r="Y8" s="4">
        <v>7.4706017984782074</v>
      </c>
      <c r="Z8" s="4">
        <v>6.3407885635231667</v>
      </c>
    </row>
    <row r="9" spans="2:26">
      <c r="B9" s="76" t="s">
        <v>9</v>
      </c>
      <c r="C9" s="76"/>
      <c r="D9" s="76"/>
      <c r="E9" s="76"/>
      <c r="F9" s="76"/>
      <c r="G9" s="76"/>
      <c r="P9" s="3">
        <v>0.6</v>
      </c>
      <c r="Q9" s="4">
        <v>64.222580893090452</v>
      </c>
      <c r="R9" s="4">
        <v>49.611866881869183</v>
      </c>
      <c r="S9" s="4">
        <v>38.6595957266928</v>
      </c>
      <c r="T9" s="4">
        <v>33.279532703097381</v>
      </c>
      <c r="U9" s="4">
        <v>29.721005303204972</v>
      </c>
      <c r="V9" s="4">
        <v>21.743140419644906</v>
      </c>
      <c r="W9" s="4">
        <v>14.933517792636996</v>
      </c>
      <c r="X9" s="4">
        <v>13.15809699485051</v>
      </c>
      <c r="Y9" s="4">
        <v>10.575666743524707</v>
      </c>
      <c r="Z9" s="4">
        <v>9.1076781185150928</v>
      </c>
    </row>
    <row r="10" spans="2:26">
      <c r="B10" s="22">
        <v>5</v>
      </c>
      <c r="C10" s="75" t="s">
        <v>29</v>
      </c>
      <c r="D10" s="75"/>
      <c r="E10" s="75"/>
      <c r="F10" s="70"/>
      <c r="G10" s="24" t="s">
        <v>3</v>
      </c>
      <c r="P10" s="3">
        <v>0.8</v>
      </c>
      <c r="Q10" s="4">
        <v>75.044193374836681</v>
      </c>
      <c r="R10" s="4">
        <v>59.703327953270303</v>
      </c>
      <c r="S10" s="4">
        <v>47.605871954500032</v>
      </c>
      <c r="T10" s="4">
        <v>41.25739758665744</v>
      </c>
      <c r="U10" s="4">
        <v>37.099377449850131</v>
      </c>
      <c r="V10" s="4">
        <v>27.346091768503573</v>
      </c>
      <c r="W10" s="4">
        <v>19.045423103527785</v>
      </c>
      <c r="X10" s="4">
        <v>16.72431019906232</v>
      </c>
      <c r="Y10" s="4">
        <v>13.473214971946815</v>
      </c>
      <c r="Z10" s="4">
        <v>11.651679348243794</v>
      </c>
    </row>
    <row r="11" spans="2:26" ht="27.75" customHeight="1">
      <c r="B11" s="22">
        <v>6</v>
      </c>
      <c r="C11" s="75" t="s">
        <v>113</v>
      </c>
      <c r="D11" s="75"/>
      <c r="E11" s="75"/>
      <c r="F11" s="70"/>
      <c r="G11" s="24" t="s">
        <v>6</v>
      </c>
      <c r="P11" s="3">
        <v>1</v>
      </c>
      <c r="Q11" s="4">
        <v>82.583967412189679</v>
      </c>
      <c r="R11" s="4">
        <v>67.965567596648995</v>
      </c>
      <c r="S11" s="4">
        <v>55.076473752978252</v>
      </c>
      <c r="T11" s="4">
        <v>48.213050495734372</v>
      </c>
      <c r="U11" s="4">
        <v>43.601567904081158</v>
      </c>
      <c r="V11" s="4">
        <v>32.534009684113435</v>
      </c>
      <c r="W11" s="4">
        <v>22.942125893474749</v>
      </c>
      <c r="X11" s="4">
        <v>20.175236338482826</v>
      </c>
      <c r="Y11" s="4">
        <v>16.17861809238336</v>
      </c>
      <c r="Z11" s="4">
        <v>14.026592882945197</v>
      </c>
    </row>
    <row r="12" spans="2:26">
      <c r="B12" s="22">
        <v>7</v>
      </c>
      <c r="C12" s="75" t="s">
        <v>211</v>
      </c>
      <c r="D12" s="75"/>
      <c r="E12" s="75"/>
      <c r="F12" s="24">
        <v>0.05</v>
      </c>
      <c r="G12" s="24" t="s">
        <v>13</v>
      </c>
      <c r="P12" s="3">
        <v>1.5</v>
      </c>
      <c r="Q12" s="4">
        <v>92.990546460687113</v>
      </c>
      <c r="R12" s="4">
        <v>82.314964261009919</v>
      </c>
      <c r="S12" s="4">
        <v>69.610329721005286</v>
      </c>
      <c r="T12" s="4">
        <v>62.108984705249405</v>
      </c>
      <c r="U12" s="4">
        <v>56.775036507570519</v>
      </c>
      <c r="V12" s="4">
        <v>43.716854968872489</v>
      </c>
      <c r="W12" s="4">
        <v>31.573284144185681</v>
      </c>
      <c r="X12" s="4">
        <v>28.068557374529242</v>
      </c>
      <c r="Y12" s="4">
        <v>22.72692337253093</v>
      </c>
      <c r="Z12" s="4">
        <v>19.714088079317499</v>
      </c>
    </row>
    <row r="13" spans="2:26" ht="28.5" customHeight="1">
      <c r="B13" s="22">
        <v>8</v>
      </c>
      <c r="C13" s="75" t="s">
        <v>11</v>
      </c>
      <c r="D13" s="75"/>
      <c r="E13" s="75"/>
      <c r="F13" s="70"/>
      <c r="G13" s="24" t="s">
        <v>6</v>
      </c>
      <c r="I13" s="19"/>
      <c r="P13" s="3">
        <v>2</v>
      </c>
      <c r="Q13" s="4">
        <v>97.23311044500808</v>
      </c>
      <c r="R13" s="4">
        <v>90.062255014987329</v>
      </c>
      <c r="S13" s="4">
        <v>79.655675966489895</v>
      </c>
      <c r="T13" s="4">
        <v>72.546306971024521</v>
      </c>
      <c r="U13" s="4">
        <v>67.081700099915437</v>
      </c>
      <c r="V13" s="4">
        <v>52.909076934901236</v>
      </c>
      <c r="W13" s="4">
        <v>39.243716854968866</v>
      </c>
      <c r="X13" s="4">
        <v>35.170240565675194</v>
      </c>
      <c r="Y13" s="4">
        <v>28.79102298055491</v>
      </c>
      <c r="Z13" s="4">
        <v>25.163323341787713</v>
      </c>
    </row>
    <row r="14" spans="2:26">
      <c r="B14" s="22">
        <v>9</v>
      </c>
      <c r="C14" s="75" t="s">
        <v>14</v>
      </c>
      <c r="D14" s="75"/>
      <c r="E14" s="75"/>
      <c r="F14" s="24">
        <v>0.4</v>
      </c>
      <c r="G14" s="24" t="s">
        <v>13</v>
      </c>
      <c r="P14" s="3">
        <v>3</v>
      </c>
      <c r="Q14" s="4">
        <v>99.892398739528105</v>
      </c>
      <c r="R14" s="4">
        <v>96.864191837675818</v>
      </c>
      <c r="S14" s="4">
        <v>90.900007685804326</v>
      </c>
      <c r="T14" s="4">
        <v>86.034893551610168</v>
      </c>
      <c r="U14" s="4">
        <v>81.707785719775586</v>
      </c>
      <c r="V14" s="4">
        <v>67.020213665360075</v>
      </c>
      <c r="W14" s="4">
        <v>51.733148874029666</v>
      </c>
      <c r="X14" s="4">
        <v>47.398355237875641</v>
      </c>
      <c r="Y14" s="4">
        <v>39.481976788870952</v>
      </c>
      <c r="Z14" s="4">
        <v>34.801321958342932</v>
      </c>
    </row>
    <row r="15" spans="2:26" ht="55.5" customHeight="1">
      <c r="B15" s="22">
        <v>10</v>
      </c>
      <c r="C15" s="75" t="s">
        <v>133</v>
      </c>
      <c r="D15" s="75"/>
      <c r="E15" s="75"/>
      <c r="F15" s="70"/>
      <c r="G15" s="24" t="s">
        <v>15</v>
      </c>
    </row>
    <row r="16" spans="2:26">
      <c r="B16" s="22">
        <v>11</v>
      </c>
      <c r="C16" s="75" t="s">
        <v>36</v>
      </c>
      <c r="D16" s="75"/>
      <c r="E16" s="75"/>
      <c r="F16" s="24">
        <v>2</v>
      </c>
      <c r="G16" s="24"/>
      <c r="M16" s="6" t="s">
        <v>96</v>
      </c>
      <c r="N16" s="32" t="e">
        <f>IF(F22&lt;P5,P5,IF(F22&gt;P14,3,F22))</f>
        <v>#DIV/0!</v>
      </c>
      <c r="Q16" s="1">
        <v>0.15</v>
      </c>
      <c r="R16" s="1">
        <v>0.3</v>
      </c>
      <c r="S16" s="1">
        <v>0.6</v>
      </c>
      <c r="T16" s="1">
        <v>0.9</v>
      </c>
      <c r="U16" s="1">
        <v>1.2</v>
      </c>
      <c r="V16" s="1">
        <v>2.4</v>
      </c>
      <c r="W16" s="1">
        <v>4.8</v>
      </c>
      <c r="X16" s="1">
        <v>6</v>
      </c>
      <c r="Y16" s="1">
        <v>9</v>
      </c>
      <c r="Z16" s="1">
        <v>12</v>
      </c>
    </row>
    <row r="17" spans="2:26" ht="15" customHeight="1">
      <c r="B17" s="94">
        <v>12</v>
      </c>
      <c r="C17" s="98" t="s">
        <v>117</v>
      </c>
      <c r="D17" s="99"/>
      <c r="E17" s="100"/>
      <c r="F17" s="96">
        <f>F15/F16</f>
        <v>0</v>
      </c>
      <c r="G17" s="96" t="s">
        <v>15</v>
      </c>
      <c r="M17" s="6" t="s">
        <v>97</v>
      </c>
      <c r="N17" s="36" t="e">
        <f>MATCH(N16,P5:P14)</f>
        <v>#DIV/0!</v>
      </c>
      <c r="P17" s="1" t="s">
        <v>101</v>
      </c>
      <c r="Q17" s="5">
        <f>IFERROR(INDEX(Q5:Q14,$N$17)+ ($N$16-$N$18)*((INDEX(Q5:Q14,$N$17+1)-INDEX(Q5:Q14,$N$17))/($N$19-$N$18)),Q14)</f>
        <v>99.892398739528105</v>
      </c>
      <c r="R17" s="5">
        <f>IFERROR(INDEX(R5:R14,$N$17)+ ($N$16-$N$18)*((INDEX(R5:R14,$N$17+1)-INDEX(R5:R14,$N$17))/($N$19-$N$18)),R14)</f>
        <v>96.864191837675818</v>
      </c>
      <c r="S17" s="5">
        <f t="shared" ref="S17:Z17" si="0">IFERROR(INDEX(S5:S14,$N$17)+ ($N$16-$N$18)*((INDEX(S5:S14,$N$17+1)-INDEX(S5:S14,$N$17))/($N$19-$N$18)),S14)</f>
        <v>90.900007685804326</v>
      </c>
      <c r="T17" s="5">
        <f t="shared" si="0"/>
        <v>86.034893551610168</v>
      </c>
      <c r="U17" s="5">
        <f t="shared" si="0"/>
        <v>81.707785719775586</v>
      </c>
      <c r="V17" s="5">
        <f t="shared" si="0"/>
        <v>67.020213665360075</v>
      </c>
      <c r="W17" s="5">
        <f t="shared" si="0"/>
        <v>51.733148874029666</v>
      </c>
      <c r="X17" s="5">
        <f t="shared" si="0"/>
        <v>47.398355237875641</v>
      </c>
      <c r="Y17" s="5">
        <f t="shared" si="0"/>
        <v>39.481976788870952</v>
      </c>
      <c r="Z17" s="5">
        <f t="shared" si="0"/>
        <v>34.801321958342932</v>
      </c>
    </row>
    <row r="18" spans="2:26" ht="15" customHeight="1">
      <c r="B18" s="95"/>
      <c r="C18" s="101"/>
      <c r="D18" s="102"/>
      <c r="E18" s="103"/>
      <c r="F18" s="97"/>
      <c r="G18" s="97"/>
      <c r="M18" s="6" t="s">
        <v>99</v>
      </c>
      <c r="N18" s="32" t="e">
        <f>INDEX(P5:P14,N17)</f>
        <v>#DIV/0!</v>
      </c>
    </row>
    <row r="19" spans="2:26">
      <c r="B19" s="74" t="s">
        <v>39</v>
      </c>
      <c r="C19" s="74"/>
      <c r="D19" s="74"/>
      <c r="E19" s="74"/>
      <c r="F19" s="74"/>
      <c r="G19" s="74"/>
      <c r="M19" s="6" t="s">
        <v>100</v>
      </c>
      <c r="N19" s="32">
        <f>IFERROR(INDEX(P5:P14,N17+1),P14)</f>
        <v>3</v>
      </c>
    </row>
    <row r="20" spans="2:26" ht="15" customHeight="1">
      <c r="B20" s="22">
        <v>13</v>
      </c>
      <c r="C20" s="75" t="s">
        <v>92</v>
      </c>
      <c r="D20" s="75"/>
      <c r="E20" s="75"/>
      <c r="F20" s="24">
        <f>F11*F12</f>
        <v>0</v>
      </c>
      <c r="G20" s="24" t="s">
        <v>6</v>
      </c>
      <c r="Q20" s="1">
        <f>Q16</f>
        <v>0.15</v>
      </c>
      <c r="R20" s="5">
        <f>Q17</f>
        <v>99.892398739528105</v>
      </c>
    </row>
    <row r="21" spans="2:26" ht="15" customHeight="1">
      <c r="B21" s="22">
        <v>14</v>
      </c>
      <c r="C21" s="75" t="s">
        <v>138</v>
      </c>
      <c r="D21" s="75"/>
      <c r="E21" s="75"/>
      <c r="F21" s="18">
        <f>(F20*F10)/12</f>
        <v>0</v>
      </c>
      <c r="G21" s="24" t="s">
        <v>8</v>
      </c>
      <c r="Q21" s="1">
        <f>R16</f>
        <v>0.3</v>
      </c>
      <c r="R21" s="5">
        <f>R17</f>
        <v>96.864191837675818</v>
      </c>
    </row>
    <row r="22" spans="2:26" ht="15" customHeight="1">
      <c r="B22" s="22">
        <v>15</v>
      </c>
      <c r="C22" s="75" t="s">
        <v>139</v>
      </c>
      <c r="D22" s="75"/>
      <c r="E22" s="75"/>
      <c r="F22" s="28" t="e">
        <f>ROUND(F21/F8,2)</f>
        <v>#DIV/0!</v>
      </c>
      <c r="G22" s="24"/>
      <c r="M22" s="6" t="s">
        <v>95</v>
      </c>
      <c r="N22" s="32">
        <f>IF(F20&lt;Q4,Q4, IF(F20&gt;Z4,Z4,F20))</f>
        <v>0.15</v>
      </c>
      <c r="Q22" s="1">
        <f>S16</f>
        <v>0.6</v>
      </c>
      <c r="R22" s="5">
        <f>S17</f>
        <v>90.900007685804326</v>
      </c>
    </row>
    <row r="23" spans="2:26" ht="15" customHeight="1">
      <c r="B23" s="22">
        <v>16</v>
      </c>
      <c r="C23" s="75" t="s">
        <v>93</v>
      </c>
      <c r="D23" s="75"/>
      <c r="E23" s="75"/>
      <c r="F23" s="29">
        <f>N27</f>
        <v>0</v>
      </c>
      <c r="G23" s="24" t="s">
        <v>34</v>
      </c>
      <c r="M23" s="6" t="s">
        <v>97</v>
      </c>
      <c r="N23" s="36">
        <f>MATCH(N22,Q20:Q29)</f>
        <v>1</v>
      </c>
      <c r="Q23" s="1">
        <f>T16</f>
        <v>0.9</v>
      </c>
      <c r="R23" s="5">
        <f>T17</f>
        <v>86.034893551610168</v>
      </c>
    </row>
    <row r="24" spans="2:26" ht="15" customHeight="1">
      <c r="B24" s="74" t="s">
        <v>40</v>
      </c>
      <c r="C24" s="74"/>
      <c r="D24" s="74"/>
      <c r="E24" s="74"/>
      <c r="F24" s="74"/>
      <c r="G24" s="74"/>
      <c r="M24" s="6" t="s">
        <v>99</v>
      </c>
      <c r="N24" s="32">
        <f>INDEX(Q20:Q29,N23)</f>
        <v>0.15</v>
      </c>
      <c r="Q24" s="1">
        <f>U16</f>
        <v>1.2</v>
      </c>
      <c r="R24" s="5">
        <f>U17</f>
        <v>81.707785719775586</v>
      </c>
    </row>
    <row r="25" spans="2:26">
      <c r="B25" s="22">
        <v>17</v>
      </c>
      <c r="C25" s="73" t="s">
        <v>102</v>
      </c>
      <c r="D25" s="73"/>
      <c r="E25" s="73"/>
      <c r="F25" s="24">
        <f>IFERROR(ROUND((F13*F14)/F17,0),0)</f>
        <v>0</v>
      </c>
      <c r="G25" s="24" t="s">
        <v>18</v>
      </c>
      <c r="M25" s="6" t="s">
        <v>100</v>
      </c>
      <c r="N25" s="32">
        <f>INDEX(Q20:Q29,N23+1)</f>
        <v>0.3</v>
      </c>
      <c r="Q25" s="1">
        <f>V16</f>
        <v>2.4</v>
      </c>
      <c r="R25" s="5">
        <f>V17</f>
        <v>67.020213665360075</v>
      </c>
    </row>
    <row r="26" spans="2:26" ht="32.25" customHeight="1">
      <c r="B26" s="22">
        <v>18</v>
      </c>
      <c r="C26" s="73" t="s">
        <v>134</v>
      </c>
      <c r="D26" s="73"/>
      <c r="E26" s="73"/>
      <c r="F26" s="28">
        <f>N53</f>
        <v>0</v>
      </c>
      <c r="G26" s="24"/>
      <c r="M26" s="6" t="s">
        <v>98</v>
      </c>
      <c r="N26" s="36">
        <f>IF(N22=Q20,R20, IF(N22=Q29,R29, INDEX(R20:R29,N23)+(N22-N24)*(INDEX(R20:R29,$N$23+1)-INDEX(R20:R29,N23))/(N25-N24)))</f>
        <v>99.892398739528105</v>
      </c>
      <c r="Q26" s="1">
        <f>W16</f>
        <v>4.8</v>
      </c>
      <c r="R26" s="5">
        <f>W17</f>
        <v>51.733148874029666</v>
      </c>
    </row>
    <row r="27" spans="2:26">
      <c r="B27" s="22">
        <v>19</v>
      </c>
      <c r="C27" s="73" t="s">
        <v>106</v>
      </c>
      <c r="D27" s="73"/>
      <c r="E27" s="73"/>
      <c r="F27" s="18">
        <f>(F10*F13*F14)/12</f>
        <v>0</v>
      </c>
      <c r="G27" s="24" t="s">
        <v>8</v>
      </c>
      <c r="M27" s="35" t="s">
        <v>141</v>
      </c>
      <c r="N27" s="37">
        <f>IF(F20&lt;$Q$4,0,N26)</f>
        <v>0</v>
      </c>
      <c r="Q27" s="1">
        <f>X16</f>
        <v>6</v>
      </c>
      <c r="R27" s="5">
        <f>X17</f>
        <v>47.398355237875641</v>
      </c>
    </row>
    <row r="28" spans="2:26">
      <c r="B28" s="22">
        <v>20</v>
      </c>
      <c r="C28" s="73" t="s">
        <v>135</v>
      </c>
      <c r="D28" s="73"/>
      <c r="E28" s="73"/>
      <c r="F28" s="28" t="e">
        <f>ROUND(F27/F8,2)</f>
        <v>#DIV/0!</v>
      </c>
      <c r="G28" s="24"/>
      <c r="Q28" s="1">
        <f>Y16</f>
        <v>9</v>
      </c>
      <c r="R28" s="5">
        <f>Y17</f>
        <v>39.481976788870952</v>
      </c>
    </row>
    <row r="29" spans="2:26" ht="15.75" customHeight="1">
      <c r="B29" s="22">
        <v>21</v>
      </c>
      <c r="C29" s="73" t="s">
        <v>136</v>
      </c>
      <c r="D29" s="73"/>
      <c r="E29" s="73"/>
      <c r="F29" s="28" t="e">
        <f>F28+F26</f>
        <v>#DIV/0!</v>
      </c>
      <c r="G29" s="24"/>
      <c r="O29" s="5"/>
      <c r="Q29" s="1">
        <f>Z16</f>
        <v>12</v>
      </c>
      <c r="R29" s="5">
        <f>Z17</f>
        <v>34.801321958342932</v>
      </c>
    </row>
    <row r="30" spans="2:26" ht="28.5" customHeight="1">
      <c r="B30" s="22">
        <v>22</v>
      </c>
      <c r="C30" s="73" t="s">
        <v>137</v>
      </c>
      <c r="D30" s="73"/>
      <c r="E30" s="73"/>
      <c r="F30" s="28">
        <f>N61</f>
        <v>0</v>
      </c>
      <c r="G30" s="24" t="s">
        <v>34</v>
      </c>
    </row>
    <row r="31" spans="2:26">
      <c r="B31" s="77">
        <v>23</v>
      </c>
      <c r="C31" s="92" t="s">
        <v>41</v>
      </c>
      <c r="D31" s="92"/>
      <c r="E31" s="92"/>
      <c r="F31" s="88">
        <f>MAX(0,ROUND(0.0000013*(F30^3) - 0.000057*(F30^2)+(0.0086*F30)- 0.014,3))</f>
        <v>0</v>
      </c>
      <c r="G31" s="80"/>
    </row>
    <row r="32" spans="2:26" ht="26.25" customHeight="1">
      <c r="B32" s="77"/>
      <c r="C32" s="93" t="s">
        <v>140</v>
      </c>
      <c r="D32" s="93"/>
      <c r="E32" s="93"/>
      <c r="F32" s="88"/>
      <c r="G32" s="80"/>
    </row>
    <row r="33" spans="2:27" ht="31.5" customHeight="1">
      <c r="B33" s="30">
        <v>24</v>
      </c>
      <c r="C33" s="73" t="s">
        <v>212</v>
      </c>
      <c r="D33" s="73"/>
      <c r="E33" s="73"/>
      <c r="F33" s="33">
        <f>ROUND(F31*F8,0)</f>
        <v>0</v>
      </c>
      <c r="G33" s="31" t="s">
        <v>8</v>
      </c>
      <c r="P33" s="9"/>
      <c r="Q33" s="10">
        <v>0</v>
      </c>
      <c r="R33" s="10">
        <v>0.1</v>
      </c>
      <c r="S33" s="10">
        <v>0.2</v>
      </c>
      <c r="T33" s="10">
        <v>0.4</v>
      </c>
      <c r="U33" s="10">
        <v>0.6</v>
      </c>
      <c r="V33" s="10">
        <v>0.8</v>
      </c>
      <c r="W33" s="10">
        <v>1</v>
      </c>
      <c r="X33" s="10">
        <v>1.25</v>
      </c>
      <c r="Y33" s="10">
        <v>1.5</v>
      </c>
      <c r="Z33" s="10">
        <v>2</v>
      </c>
      <c r="AA33" s="10">
        <v>3</v>
      </c>
    </row>
    <row r="34" spans="2:27" ht="30" customHeight="1">
      <c r="B34" s="91" t="str">
        <f>IF(F25&gt;120,"Results are not valid when drawdown for infiltration storage is greater than 120 hours","Volume Retention = "&amp;F33&amp;" cubic feet")</f>
        <v>Volume Retention = 0 cubic feet</v>
      </c>
      <c r="C34" s="91"/>
      <c r="D34" s="91"/>
      <c r="E34" s="91"/>
      <c r="F34" s="91"/>
      <c r="G34" s="91"/>
      <c r="N34" s="11"/>
      <c r="P34" s="10">
        <v>6</v>
      </c>
      <c r="Q34" s="9">
        <v>0</v>
      </c>
      <c r="R34" s="12">
        <v>36.090225563909769</v>
      </c>
      <c r="S34" s="12">
        <v>58.913619122593573</v>
      </c>
      <c r="T34" s="12">
        <v>82.999427590154554</v>
      </c>
      <c r="U34" s="12">
        <v>92.758497316636848</v>
      </c>
      <c r="V34" s="12">
        <v>97.129974234182654</v>
      </c>
      <c r="W34" s="12">
        <v>98.969145966067714</v>
      </c>
      <c r="X34" s="12">
        <v>99.627613864222283</v>
      </c>
      <c r="Y34" s="12">
        <v>99.992836676217763</v>
      </c>
      <c r="Z34" s="12">
        <v>100</v>
      </c>
      <c r="AA34" s="12">
        <v>100</v>
      </c>
    </row>
    <row r="35" spans="2:27" ht="32.25" customHeight="1">
      <c r="N35" s="11"/>
      <c r="P35" s="10">
        <v>12</v>
      </c>
      <c r="Q35" s="9">
        <v>0</v>
      </c>
      <c r="R35" s="12">
        <v>25.225547758842907</v>
      </c>
      <c r="S35" s="12">
        <v>43.822476735862566</v>
      </c>
      <c r="T35" s="12">
        <v>68.923561408531356</v>
      </c>
      <c r="U35" s="12">
        <v>82.877594846098788</v>
      </c>
      <c r="V35" s="12">
        <v>90.541991837903637</v>
      </c>
      <c r="W35" s="12">
        <v>95.015754798052129</v>
      </c>
      <c r="X35" s="12">
        <v>98.058878303846413</v>
      </c>
      <c r="Y35" s="12">
        <v>99.054170249355124</v>
      </c>
      <c r="Z35" s="12">
        <v>99.820762833381124</v>
      </c>
      <c r="AA35" s="12">
        <v>100</v>
      </c>
    </row>
    <row r="36" spans="2:27" ht="43.5" customHeight="1">
      <c r="P36" s="10">
        <v>24</v>
      </c>
      <c r="Q36" s="9">
        <v>0</v>
      </c>
      <c r="R36" s="12">
        <v>18.152524167561761</v>
      </c>
      <c r="S36" s="12">
        <v>32.481386025200457</v>
      </c>
      <c r="T36" s="12">
        <v>54.457572502685295</v>
      </c>
      <c r="U36" s="12">
        <v>69.806590257879648</v>
      </c>
      <c r="V36" s="12">
        <v>79.889669007021055</v>
      </c>
      <c r="W36" s="12">
        <v>86.598824709760635</v>
      </c>
      <c r="X36" s="12">
        <v>92.179211469534053</v>
      </c>
      <c r="Y36" s="12">
        <v>95.690520579377591</v>
      </c>
      <c r="Z36" s="12">
        <v>98.679962694597904</v>
      </c>
      <c r="AA36" s="12">
        <v>99.849159603505228</v>
      </c>
    </row>
    <row r="37" spans="2:27">
      <c r="P37" s="10">
        <v>36</v>
      </c>
      <c r="Q37" s="9">
        <v>0</v>
      </c>
      <c r="R37" s="12">
        <v>15.238095238095239</v>
      </c>
      <c r="S37" s="12">
        <v>27.506445144657693</v>
      </c>
      <c r="T37" s="12">
        <v>47.059244931585361</v>
      </c>
      <c r="U37" s="12">
        <v>61.702737566289237</v>
      </c>
      <c r="V37" s="12">
        <v>72.62169331134848</v>
      </c>
      <c r="W37" s="12">
        <v>80.405938463745244</v>
      </c>
      <c r="X37" s="12">
        <v>87.050720998636919</v>
      </c>
      <c r="Y37" s="12">
        <v>91.560212430027264</v>
      </c>
      <c r="Z37" s="12">
        <v>96.646560390636211</v>
      </c>
      <c r="AA37" s="12">
        <v>99.683680805176138</v>
      </c>
    </row>
    <row r="38" spans="2:27" ht="15" customHeight="1">
      <c r="P38" s="10">
        <v>48</v>
      </c>
      <c r="Q38" s="9">
        <v>0</v>
      </c>
      <c r="R38" s="12">
        <v>13.592093955886565</v>
      </c>
      <c r="S38" s="12">
        <v>24.652628563243091</v>
      </c>
      <c r="T38" s="12">
        <v>42.680042995342177</v>
      </c>
      <c r="U38" s="12">
        <v>56.482145418041021</v>
      </c>
      <c r="V38" s="12">
        <v>67.173601147776182</v>
      </c>
      <c r="W38" s="12">
        <v>75.44678102346947</v>
      </c>
      <c r="X38" s="12">
        <v>83.068859050764701</v>
      </c>
      <c r="Y38" s="12">
        <v>88.11952305703204</v>
      </c>
      <c r="Z38" s="12">
        <v>94.264357076115871</v>
      </c>
      <c r="AA38" s="12">
        <v>98.927748992515845</v>
      </c>
    </row>
    <row r="39" spans="2:27" ht="15" customHeight="1">
      <c r="P39" s="10">
        <v>72</v>
      </c>
      <c r="Q39" s="9">
        <v>0</v>
      </c>
      <c r="R39" s="12">
        <v>11.680870873021556</v>
      </c>
      <c r="S39" s="12">
        <v>21.263791374122366</v>
      </c>
      <c r="T39" s="12">
        <v>37.253495876658299</v>
      </c>
      <c r="U39" s="12">
        <v>49.881576114261108</v>
      </c>
      <c r="V39" s="12">
        <v>60.112036771042796</v>
      </c>
      <c r="W39" s="12">
        <v>68.264462809917362</v>
      </c>
      <c r="X39" s="12">
        <v>76.44182367323458</v>
      </c>
      <c r="Y39" s="12">
        <v>82.768544499604289</v>
      </c>
      <c r="Z39" s="12">
        <v>90.681261702434099</v>
      </c>
      <c r="AA39" s="12">
        <v>97.144299415879416</v>
      </c>
    </row>
    <row r="40" spans="2:27">
      <c r="P40" s="10">
        <v>96</v>
      </c>
      <c r="Q40" s="9">
        <v>0</v>
      </c>
      <c r="R40" s="12">
        <v>10.508595988538682</v>
      </c>
      <c r="S40" s="12">
        <v>19.185838171002654</v>
      </c>
      <c r="T40" s="12">
        <v>33.845160364497374</v>
      </c>
      <c r="U40" s="12">
        <v>45.747737394052571</v>
      </c>
      <c r="V40" s="12">
        <v>55.579522576934139</v>
      </c>
      <c r="W40" s="12">
        <v>63.548712044898558</v>
      </c>
      <c r="X40" s="12">
        <v>71.613739468567729</v>
      </c>
      <c r="Y40" s="12">
        <v>78.120495820121079</v>
      </c>
      <c r="Z40" s="12">
        <v>87.35300483370608</v>
      </c>
      <c r="AA40" s="12">
        <v>95.324130953241308</v>
      </c>
    </row>
    <row r="41" spans="2:27" ht="27.75" customHeight="1">
      <c r="P41" s="10">
        <v>120</v>
      </c>
      <c r="Q41" s="9">
        <v>0</v>
      </c>
      <c r="R41" s="12">
        <v>9.6640160469947709</v>
      </c>
      <c r="S41" s="12">
        <v>17.685855616890102</v>
      </c>
      <c r="T41" s="12">
        <v>31.359035106612104</v>
      </c>
      <c r="U41" s="12">
        <v>42.707210121486597</v>
      </c>
      <c r="V41" s="12">
        <v>52.270600935588341</v>
      </c>
      <c r="W41" s="12">
        <v>60.053310280239181</v>
      </c>
      <c r="X41" s="12">
        <v>68.068075286651762</v>
      </c>
      <c r="Y41" s="12">
        <v>74.682448036951499</v>
      </c>
      <c r="Z41" s="12">
        <v>84.121133275513159</v>
      </c>
      <c r="AA41" s="12">
        <v>93.844594105293652</v>
      </c>
    </row>
    <row r="42" spans="2:27" ht="46.5" customHeight="1"/>
    <row r="43" spans="2:27" ht="45" customHeight="1">
      <c r="M43" s="6" t="s">
        <v>103</v>
      </c>
      <c r="N43" s="6">
        <f>IF(F25&lt;P34,P34,IF(F25&gt;P41,P41,F25))</f>
        <v>6</v>
      </c>
      <c r="P43" s="14"/>
      <c r="Q43" s="15"/>
      <c r="R43" s="15"/>
      <c r="S43" s="15"/>
      <c r="T43" s="15"/>
      <c r="U43" s="15"/>
      <c r="V43" s="15"/>
      <c r="W43" s="15"/>
      <c r="X43" s="15"/>
    </row>
    <row r="44" spans="2:27">
      <c r="M44" s="6" t="s">
        <v>97</v>
      </c>
      <c r="N44" s="6">
        <f>MATCH(N43,P34:P41)</f>
        <v>1</v>
      </c>
      <c r="P44" s="14"/>
      <c r="Q44" s="10">
        <v>0</v>
      </c>
      <c r="R44" s="10">
        <v>0.1</v>
      </c>
      <c r="S44" s="10">
        <v>0.2</v>
      </c>
      <c r="T44" s="10">
        <v>0.4</v>
      </c>
      <c r="U44" s="10">
        <v>0.6</v>
      </c>
      <c r="V44" s="10">
        <v>0.8</v>
      </c>
      <c r="W44" s="10">
        <v>1</v>
      </c>
      <c r="X44" s="10">
        <v>1.25</v>
      </c>
      <c r="Y44" s="10">
        <v>1.5</v>
      </c>
      <c r="Z44" s="10">
        <v>2</v>
      </c>
      <c r="AA44" s="10">
        <v>3</v>
      </c>
    </row>
    <row r="45" spans="2:27">
      <c r="M45" s="6" t="s">
        <v>99</v>
      </c>
      <c r="N45" s="6">
        <f>INDEX(P34:P41,N44)</f>
        <v>6</v>
      </c>
      <c r="P45" s="14" t="s">
        <v>104</v>
      </c>
      <c r="Q45" s="12">
        <f t="shared" ref="Q45:AA45" si="1">IF($N$43=$P$41,Q41,INDEX(Q34:Q41,$N$44)+ ($N$43-$N$45)*((INDEX(Q34:Q41,$N$44+1)-INDEX(Q34:Q41,$N$44))/($N$46-$N$45)))</f>
        <v>0</v>
      </c>
      <c r="R45" s="12">
        <f t="shared" si="1"/>
        <v>36.090225563909769</v>
      </c>
      <c r="S45" s="12">
        <f t="shared" si="1"/>
        <v>58.913619122593573</v>
      </c>
      <c r="T45" s="12">
        <f t="shared" si="1"/>
        <v>82.999427590154554</v>
      </c>
      <c r="U45" s="12">
        <f t="shared" si="1"/>
        <v>92.758497316636848</v>
      </c>
      <c r="V45" s="12">
        <f t="shared" si="1"/>
        <v>97.129974234182654</v>
      </c>
      <c r="W45" s="12">
        <f t="shared" si="1"/>
        <v>98.969145966067714</v>
      </c>
      <c r="X45" s="12">
        <f t="shared" si="1"/>
        <v>99.627613864222283</v>
      </c>
      <c r="Y45" s="12">
        <f t="shared" si="1"/>
        <v>99.992836676217763</v>
      </c>
      <c r="Z45" s="12">
        <f t="shared" si="1"/>
        <v>100</v>
      </c>
      <c r="AA45" s="12">
        <f t="shared" si="1"/>
        <v>100</v>
      </c>
    </row>
    <row r="46" spans="2:27">
      <c r="M46" s="6" t="s">
        <v>100</v>
      </c>
      <c r="N46" s="6">
        <f>INDEX(P34:P41,N44+1)</f>
        <v>12</v>
      </c>
    </row>
    <row r="48" spans="2:27">
      <c r="Q48" s="16">
        <f>Q45</f>
        <v>0</v>
      </c>
      <c r="R48" s="1">
        <f>Q44</f>
        <v>0</v>
      </c>
      <c r="S48" s="16"/>
    </row>
    <row r="49" spans="13:18">
      <c r="M49" s="1" t="s">
        <v>105</v>
      </c>
      <c r="N49" s="11">
        <f>IF(F23&lt;0, 0, IF(F23&gt;100,100,F23))</f>
        <v>0</v>
      </c>
      <c r="Q49" s="16">
        <f>R45</f>
        <v>36.090225563909769</v>
      </c>
      <c r="R49" s="1">
        <f>R44</f>
        <v>0.1</v>
      </c>
    </row>
    <row r="50" spans="13:18">
      <c r="M50" s="6" t="s">
        <v>97</v>
      </c>
      <c r="N50" s="7">
        <f>MATCH(N49,Q48:Q58)</f>
        <v>1</v>
      </c>
      <c r="Q50" s="16">
        <f>S45</f>
        <v>58.913619122593573</v>
      </c>
      <c r="R50" s="1">
        <f>S44</f>
        <v>0.2</v>
      </c>
    </row>
    <row r="51" spans="13:18">
      <c r="M51" s="6" t="s">
        <v>99</v>
      </c>
      <c r="N51" s="6">
        <f>INDEX(Q48:Q58,N50)</f>
        <v>0</v>
      </c>
      <c r="Q51" s="16">
        <f>T45</f>
        <v>82.999427590154554</v>
      </c>
      <c r="R51" s="1">
        <f>T44</f>
        <v>0.4</v>
      </c>
    </row>
    <row r="52" spans="13:18">
      <c r="M52" s="6" t="s">
        <v>100</v>
      </c>
      <c r="N52" s="17">
        <f>INDEX(Q48:Q58,N50+1)</f>
        <v>36.090225563909769</v>
      </c>
      <c r="Q52" s="16">
        <f>U45</f>
        <v>92.758497316636848</v>
      </c>
      <c r="R52" s="1">
        <f>U44</f>
        <v>0.6</v>
      </c>
    </row>
    <row r="53" spans="13:18">
      <c r="M53" s="6" t="s">
        <v>98</v>
      </c>
      <c r="N53" s="8">
        <f>IF(N49=Q48,R48, IF(N49&gt;Q58,R58, INDEX(R48:R58,N50)+(N49-N51)*(INDEX(R48:R58,N50+1)-INDEX(R48:R58,N50))/(N52-N51)))</f>
        <v>0</v>
      </c>
      <c r="Q53" s="16">
        <f>V45</f>
        <v>97.129974234182654</v>
      </c>
      <c r="R53" s="1">
        <f>V44</f>
        <v>0.8</v>
      </c>
    </row>
    <row r="54" spans="13:18">
      <c r="Q54" s="16">
        <f>W45</f>
        <v>98.969145966067714</v>
      </c>
      <c r="R54" s="1">
        <f>W44</f>
        <v>1</v>
      </c>
    </row>
    <row r="55" spans="13:18">
      <c r="Q55" s="16">
        <f>X45</f>
        <v>99.627613864222283</v>
      </c>
      <c r="R55" s="1">
        <f>X44</f>
        <v>1.25</v>
      </c>
    </row>
    <row r="56" spans="13:18">
      <c r="M56" s="1" t="s">
        <v>107</v>
      </c>
      <c r="N56" s="11" t="e">
        <f>F29</f>
        <v>#DIV/0!</v>
      </c>
      <c r="Q56" s="16">
        <f>Y45</f>
        <v>99.992836676217763</v>
      </c>
      <c r="R56" s="1">
        <f>Y44</f>
        <v>1.5</v>
      </c>
    </row>
    <row r="57" spans="13:18">
      <c r="M57" s="6" t="s">
        <v>97</v>
      </c>
      <c r="N57" s="7" t="e">
        <f>MATCH(N56,R48:R58)</f>
        <v>#DIV/0!</v>
      </c>
      <c r="Q57" s="16">
        <f>Z45</f>
        <v>100</v>
      </c>
      <c r="R57" s="1">
        <f>Z44</f>
        <v>2</v>
      </c>
    </row>
    <row r="58" spans="13:18">
      <c r="M58" s="6" t="s">
        <v>99</v>
      </c>
      <c r="N58" s="6" t="e">
        <f>INDEX(R48:R58,N57)</f>
        <v>#DIV/0!</v>
      </c>
      <c r="Q58" s="16">
        <f>AA45</f>
        <v>100</v>
      </c>
      <c r="R58" s="1">
        <f>AA44</f>
        <v>3</v>
      </c>
    </row>
    <row r="59" spans="13:18">
      <c r="M59" s="6" t="s">
        <v>100</v>
      </c>
      <c r="N59" s="17" t="e">
        <f>INDEX(R48:R58,N57+1)</f>
        <v>#DIV/0!</v>
      </c>
    </row>
    <row r="60" spans="13:18">
      <c r="M60" s="6" t="s">
        <v>98</v>
      </c>
      <c r="N60" s="17" t="e">
        <f>IF(N56=R48,Q48, IF(N56=R58,Q58, INDEX(Q48:Q58,N57)+(N56-N58)*(INDEX(Q48:Q58,N57+1)-INDEX(Q48:Q58,N57))/(N59-N58)))</f>
        <v>#DIV/0!</v>
      </c>
    </row>
    <row r="61" spans="13:18">
      <c r="M61" s="35" t="s">
        <v>141</v>
      </c>
      <c r="N61" s="37">
        <f>IF(F25=0,N27,N60)</f>
        <v>0</v>
      </c>
    </row>
  </sheetData>
  <mergeCells count="40">
    <mergeCell ref="C14:E14"/>
    <mergeCell ref="F4:G4"/>
    <mergeCell ref="B4:E4"/>
    <mergeCell ref="B2:C3"/>
    <mergeCell ref="E2:G2"/>
    <mergeCell ref="E3:G3"/>
    <mergeCell ref="C13:E13"/>
    <mergeCell ref="C5:E5"/>
    <mergeCell ref="C6:E6"/>
    <mergeCell ref="C7:E7"/>
    <mergeCell ref="C8:E8"/>
    <mergeCell ref="B9:G9"/>
    <mergeCell ref="C10:E10"/>
    <mergeCell ref="C11:E11"/>
    <mergeCell ref="C12:E12"/>
    <mergeCell ref="B17:B18"/>
    <mergeCell ref="F17:F18"/>
    <mergeCell ref="G17:G18"/>
    <mergeCell ref="C17:E18"/>
    <mergeCell ref="C15:E15"/>
    <mergeCell ref="C16:E16"/>
    <mergeCell ref="C30:E30"/>
    <mergeCell ref="B19:G19"/>
    <mergeCell ref="C20:E20"/>
    <mergeCell ref="C21:E21"/>
    <mergeCell ref="C22:E22"/>
    <mergeCell ref="C23:E23"/>
    <mergeCell ref="B24:G24"/>
    <mergeCell ref="C25:E25"/>
    <mergeCell ref="C27:E27"/>
    <mergeCell ref="C28:E28"/>
    <mergeCell ref="C26:E26"/>
    <mergeCell ref="C29:E29"/>
    <mergeCell ref="C33:E33"/>
    <mergeCell ref="B34:G34"/>
    <mergeCell ref="B31:B32"/>
    <mergeCell ref="C31:E31"/>
    <mergeCell ref="C32:E32"/>
    <mergeCell ref="F31:F32"/>
    <mergeCell ref="G31:G32"/>
  </mergeCells>
  <pageMargins left="0.25" right="0.25" top="0.75" bottom="0.75" header="0.3" footer="0.3"/>
  <pageSetup scale="82" orientation="portrait" verticalDpi="1200" r:id="rId1"/>
  <headerFooter>
    <oddFooter>&amp;L&amp;D&amp;RVersion 1.0 - June 2017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J37"/>
  <sheetViews>
    <sheetView showGridLines="0" zoomScaleNormal="100" workbookViewId="0"/>
  </sheetViews>
  <sheetFormatPr defaultRowHeight="15"/>
  <cols>
    <col min="1" max="1" width="2.85546875" style="1" customWidth="1"/>
    <col min="2" max="2" width="5.140625" style="1" customWidth="1"/>
    <col min="3" max="3" width="26.42578125" style="1" customWidth="1"/>
    <col min="4" max="4" width="11.42578125" style="1" customWidth="1"/>
    <col min="5" max="5" width="17.85546875" style="1" customWidth="1"/>
    <col min="6" max="6" width="9.140625" style="1"/>
    <col min="7" max="7" width="14.85546875" style="1" customWidth="1"/>
    <col min="8" max="8" width="13.7109375" style="1" customWidth="1"/>
    <col min="9" max="16384" width="9.140625" style="1"/>
  </cols>
  <sheetData>
    <row r="1" spans="2:8" ht="9.75" customHeight="1"/>
    <row r="2" spans="2:8" ht="24.75" customHeight="1">
      <c r="B2" s="81"/>
      <c r="C2" s="81"/>
      <c r="D2" s="114" t="s">
        <v>123</v>
      </c>
      <c r="E2" s="114"/>
      <c r="F2" s="82"/>
      <c r="G2" s="82"/>
      <c r="H2" s="82"/>
    </row>
    <row r="3" spans="2:8" ht="19.5" customHeight="1">
      <c r="B3" s="81"/>
      <c r="C3" s="81"/>
      <c r="D3" s="114" t="s">
        <v>124</v>
      </c>
      <c r="E3" s="114"/>
      <c r="F3" s="82"/>
      <c r="G3" s="82"/>
      <c r="H3" s="82"/>
    </row>
    <row r="4" spans="2:8" ht="32.25" customHeight="1">
      <c r="B4" s="86" t="s">
        <v>213</v>
      </c>
      <c r="C4" s="86"/>
      <c r="D4" s="86"/>
      <c r="E4" s="86"/>
      <c r="F4" s="86" t="s">
        <v>142</v>
      </c>
      <c r="G4" s="86"/>
      <c r="H4" s="86"/>
    </row>
    <row r="5" spans="2:8">
      <c r="B5" s="22">
        <v>1</v>
      </c>
      <c r="C5" s="73" t="s">
        <v>2</v>
      </c>
      <c r="D5" s="73"/>
      <c r="E5" s="73"/>
      <c r="F5" s="73"/>
      <c r="G5" s="70"/>
      <c r="H5" s="24" t="s">
        <v>3</v>
      </c>
    </row>
    <row r="6" spans="2:8" ht="24" customHeight="1">
      <c r="B6" s="22">
        <v>2</v>
      </c>
      <c r="C6" s="73" t="s">
        <v>43</v>
      </c>
      <c r="D6" s="73"/>
      <c r="E6" s="73"/>
      <c r="F6" s="73"/>
      <c r="G6" s="70"/>
      <c r="H6" s="24"/>
    </row>
    <row r="7" spans="2:8">
      <c r="B7" s="22">
        <v>3</v>
      </c>
      <c r="C7" s="73" t="s">
        <v>143</v>
      </c>
      <c r="D7" s="73"/>
      <c r="E7" s="73"/>
      <c r="F7" s="73"/>
      <c r="G7" s="70"/>
      <c r="H7" s="24" t="s">
        <v>44</v>
      </c>
    </row>
    <row r="8" spans="2:8" ht="25.5" customHeight="1">
      <c r="B8" s="22">
        <v>4</v>
      </c>
      <c r="C8" s="73" t="s">
        <v>144</v>
      </c>
      <c r="D8" s="73"/>
      <c r="E8" s="73"/>
      <c r="F8" s="73"/>
      <c r="G8" s="70"/>
      <c r="H8" s="24" t="s">
        <v>45</v>
      </c>
    </row>
    <row r="9" spans="2:8">
      <c r="B9" s="74" t="s">
        <v>46</v>
      </c>
      <c r="C9" s="74"/>
      <c r="D9" s="74"/>
      <c r="E9" s="74"/>
      <c r="F9" s="74"/>
      <c r="G9" s="74"/>
      <c r="H9" s="74"/>
    </row>
    <row r="10" spans="2:8" ht="24">
      <c r="B10" s="74" t="s">
        <v>47</v>
      </c>
      <c r="C10" s="74"/>
      <c r="D10" s="67" t="s">
        <v>48</v>
      </c>
      <c r="E10" s="115" t="s">
        <v>49</v>
      </c>
      <c r="F10" s="115"/>
      <c r="G10" s="115" t="s">
        <v>50</v>
      </c>
      <c r="H10" s="115"/>
    </row>
    <row r="11" spans="2:8">
      <c r="B11" s="112" t="s">
        <v>51</v>
      </c>
      <c r="C11" s="112"/>
      <c r="D11" s="70"/>
      <c r="E11" s="80">
        <v>123</v>
      </c>
      <c r="F11" s="80"/>
      <c r="G11" s="80">
        <f>E11*D11</f>
        <v>0</v>
      </c>
      <c r="H11" s="80"/>
    </row>
    <row r="12" spans="2:8">
      <c r="B12" s="112" t="s">
        <v>52</v>
      </c>
      <c r="C12" s="112"/>
      <c r="D12" s="70"/>
      <c r="E12" s="80">
        <v>128</v>
      </c>
      <c r="F12" s="80"/>
      <c r="G12" s="80">
        <f t="shared" ref="G12:G22" si="0">E12*D12</f>
        <v>0</v>
      </c>
      <c r="H12" s="80"/>
    </row>
    <row r="13" spans="2:8">
      <c r="B13" s="112" t="s">
        <v>53</v>
      </c>
      <c r="C13" s="112"/>
      <c r="D13" s="70"/>
      <c r="E13" s="80">
        <v>125</v>
      </c>
      <c r="F13" s="80"/>
      <c r="G13" s="80">
        <f t="shared" si="0"/>
        <v>0</v>
      </c>
      <c r="H13" s="80"/>
    </row>
    <row r="14" spans="2:8">
      <c r="B14" s="112" t="s">
        <v>54</v>
      </c>
      <c r="C14" s="112"/>
      <c r="D14" s="70"/>
      <c r="E14" s="80">
        <v>132</v>
      </c>
      <c r="F14" s="80"/>
      <c r="G14" s="80">
        <f t="shared" si="0"/>
        <v>0</v>
      </c>
      <c r="H14" s="80"/>
    </row>
    <row r="15" spans="2:8">
      <c r="B15" s="112" t="s">
        <v>55</v>
      </c>
      <c r="C15" s="112"/>
      <c r="D15" s="70"/>
      <c r="E15" s="80">
        <v>78</v>
      </c>
      <c r="F15" s="80"/>
      <c r="G15" s="80">
        <f t="shared" si="0"/>
        <v>0</v>
      </c>
      <c r="H15" s="80"/>
    </row>
    <row r="16" spans="2:8">
      <c r="B16" s="112" t="s">
        <v>56</v>
      </c>
      <c r="C16" s="112"/>
      <c r="D16" s="70"/>
      <c r="E16" s="80">
        <v>40</v>
      </c>
      <c r="F16" s="80"/>
      <c r="G16" s="80">
        <f t="shared" si="0"/>
        <v>0</v>
      </c>
      <c r="H16" s="80"/>
    </row>
    <row r="17" spans="2:10">
      <c r="B17" s="112" t="s">
        <v>57</v>
      </c>
      <c r="C17" s="112"/>
      <c r="D17" s="70"/>
      <c r="E17" s="80">
        <v>14</v>
      </c>
      <c r="F17" s="80"/>
      <c r="G17" s="80">
        <f t="shared" si="0"/>
        <v>0</v>
      </c>
      <c r="H17" s="80"/>
    </row>
    <row r="18" spans="2:10">
      <c r="B18" s="112" t="s">
        <v>58</v>
      </c>
      <c r="C18" s="112"/>
      <c r="D18" s="70"/>
      <c r="E18" s="80">
        <v>50</v>
      </c>
      <c r="F18" s="80"/>
      <c r="G18" s="80">
        <f t="shared" si="0"/>
        <v>0</v>
      </c>
      <c r="H18" s="80"/>
    </row>
    <row r="19" spans="2:10">
      <c r="B19" s="112" t="s">
        <v>59</v>
      </c>
      <c r="C19" s="112"/>
      <c r="D19" s="70"/>
      <c r="E19" s="80">
        <v>216</v>
      </c>
      <c r="F19" s="80"/>
      <c r="G19" s="80">
        <f t="shared" si="0"/>
        <v>0</v>
      </c>
      <c r="H19" s="80"/>
    </row>
    <row r="20" spans="2:10">
      <c r="B20" s="110" t="s">
        <v>60</v>
      </c>
      <c r="C20" s="110"/>
      <c r="D20" s="70"/>
      <c r="E20" s="111"/>
      <c r="F20" s="111"/>
      <c r="G20" s="80">
        <f t="shared" si="0"/>
        <v>0</v>
      </c>
      <c r="H20" s="80"/>
    </row>
    <row r="21" spans="2:10">
      <c r="B21" s="110" t="s">
        <v>60</v>
      </c>
      <c r="C21" s="110"/>
      <c r="D21" s="70"/>
      <c r="E21" s="111"/>
      <c r="F21" s="111"/>
      <c r="G21" s="80">
        <f t="shared" si="0"/>
        <v>0</v>
      </c>
      <c r="H21" s="80"/>
    </row>
    <row r="22" spans="2:10">
      <c r="B22" s="110" t="s">
        <v>60</v>
      </c>
      <c r="C22" s="110"/>
      <c r="D22" s="70"/>
      <c r="E22" s="111"/>
      <c r="F22" s="111"/>
      <c r="G22" s="80">
        <f t="shared" si="0"/>
        <v>0</v>
      </c>
      <c r="H22" s="80"/>
      <c r="J22" s="19"/>
    </row>
    <row r="23" spans="2:10">
      <c r="B23" s="22">
        <v>5</v>
      </c>
      <c r="C23" s="73" t="s">
        <v>61</v>
      </c>
      <c r="D23" s="73"/>
      <c r="E23" s="73"/>
      <c r="F23" s="73"/>
      <c r="G23" s="24">
        <f>SUM(G11:H22)</f>
        <v>0</v>
      </c>
      <c r="H23" s="24" t="s">
        <v>62</v>
      </c>
    </row>
    <row r="24" spans="2:10">
      <c r="B24" s="74" t="s">
        <v>63</v>
      </c>
      <c r="C24" s="74"/>
      <c r="D24" s="74"/>
      <c r="E24" s="74"/>
      <c r="F24" s="74"/>
      <c r="G24" s="74"/>
      <c r="H24" s="74"/>
    </row>
    <row r="25" spans="2:10">
      <c r="B25" s="77">
        <v>6</v>
      </c>
      <c r="C25" s="78" t="s">
        <v>64</v>
      </c>
      <c r="D25" s="78"/>
      <c r="E25" s="78"/>
      <c r="F25" s="78"/>
      <c r="G25" s="111"/>
      <c r="H25" s="80"/>
      <c r="J25" s="19"/>
    </row>
    <row r="26" spans="2:10" ht="41.25" customHeight="1">
      <c r="B26" s="77"/>
      <c r="C26" s="79" t="s">
        <v>65</v>
      </c>
      <c r="D26" s="79"/>
      <c r="E26" s="79"/>
      <c r="F26" s="79"/>
      <c r="G26" s="111"/>
      <c r="H26" s="80"/>
    </row>
    <row r="27" spans="2:10" ht="37.5" customHeight="1">
      <c r="B27" s="22">
        <v>7</v>
      </c>
      <c r="C27" s="73" t="s">
        <v>125</v>
      </c>
      <c r="D27" s="73"/>
      <c r="E27" s="73"/>
      <c r="F27" s="73"/>
      <c r="G27" s="70"/>
      <c r="H27" s="24" t="s">
        <v>6</v>
      </c>
    </row>
    <row r="28" spans="2:10">
      <c r="B28" s="22">
        <v>8</v>
      </c>
      <c r="C28" s="73" t="s">
        <v>215</v>
      </c>
      <c r="D28" s="73"/>
      <c r="E28" s="73"/>
      <c r="F28" s="73"/>
      <c r="G28" s="18">
        <f>(G27*G5*G6)/12</f>
        <v>0</v>
      </c>
      <c r="H28" s="24" t="s">
        <v>66</v>
      </c>
    </row>
    <row r="29" spans="2:10">
      <c r="B29" s="77">
        <v>9</v>
      </c>
      <c r="C29" s="92" t="s">
        <v>67</v>
      </c>
      <c r="D29" s="92"/>
      <c r="E29" s="92"/>
      <c r="F29" s="92"/>
      <c r="G29" s="109">
        <f>(G28*62.4*G23*(1-G25))/1000000</f>
        <v>0</v>
      </c>
      <c r="H29" s="80" t="s">
        <v>69</v>
      </c>
    </row>
    <row r="30" spans="2:10">
      <c r="B30" s="77"/>
      <c r="C30" s="93" t="s">
        <v>68</v>
      </c>
      <c r="D30" s="93"/>
      <c r="E30" s="93"/>
      <c r="F30" s="93"/>
      <c r="G30" s="109"/>
      <c r="H30" s="80"/>
    </row>
    <row r="31" spans="2:10">
      <c r="B31" s="22">
        <v>10</v>
      </c>
      <c r="C31" s="73" t="s">
        <v>70</v>
      </c>
      <c r="D31" s="73"/>
      <c r="E31" s="73"/>
      <c r="F31" s="73"/>
      <c r="G31" s="18" t="e">
        <f>(G29*G8)/G7</f>
        <v>#DIV/0!</v>
      </c>
      <c r="H31" s="24" t="s">
        <v>3</v>
      </c>
    </row>
    <row r="32" spans="2:10">
      <c r="B32" s="77">
        <v>11</v>
      </c>
      <c r="C32" s="92" t="s">
        <v>71</v>
      </c>
      <c r="D32" s="92"/>
      <c r="E32" s="92"/>
      <c r="F32" s="92"/>
      <c r="G32" s="88" t="e">
        <f>(G31/(G5*G6))</f>
        <v>#DIV/0!</v>
      </c>
      <c r="H32" s="80"/>
    </row>
    <row r="33" spans="2:8">
      <c r="B33" s="77"/>
      <c r="C33" s="93" t="s">
        <v>72</v>
      </c>
      <c r="D33" s="93"/>
      <c r="E33" s="93"/>
      <c r="F33" s="93"/>
      <c r="G33" s="88"/>
      <c r="H33" s="80"/>
    </row>
    <row r="34" spans="2:8">
      <c r="B34" s="74" t="s">
        <v>73</v>
      </c>
      <c r="C34" s="74"/>
      <c r="D34" s="74"/>
      <c r="E34" s="74"/>
      <c r="F34" s="74"/>
      <c r="G34" s="74"/>
      <c r="H34" s="74"/>
    </row>
    <row r="35" spans="2:8" ht="32.25" customHeight="1">
      <c r="B35" s="113"/>
      <c r="C35" s="113"/>
      <c r="D35" s="113"/>
      <c r="E35" s="113"/>
      <c r="F35" s="113"/>
      <c r="G35" s="113"/>
      <c r="H35" s="113"/>
    </row>
    <row r="36" spans="2:8" ht="35.25" customHeight="1">
      <c r="B36" s="113"/>
      <c r="C36" s="113"/>
      <c r="D36" s="113"/>
      <c r="E36" s="113"/>
      <c r="F36" s="113"/>
      <c r="G36" s="113"/>
      <c r="H36" s="113"/>
    </row>
    <row r="37" spans="2:8" ht="29.25" customHeight="1">
      <c r="B37" s="113"/>
      <c r="C37" s="113"/>
      <c r="D37" s="113"/>
      <c r="E37" s="113"/>
      <c r="F37" s="113"/>
      <c r="G37" s="113"/>
      <c r="H37" s="113"/>
    </row>
  </sheetData>
  <mergeCells count="73">
    <mergeCell ref="B2:C3"/>
    <mergeCell ref="B35:H37"/>
    <mergeCell ref="F2:H2"/>
    <mergeCell ref="F3:H3"/>
    <mergeCell ref="D2:E2"/>
    <mergeCell ref="D3:E3"/>
    <mergeCell ref="C8:F8"/>
    <mergeCell ref="B4:E4"/>
    <mergeCell ref="F4:H4"/>
    <mergeCell ref="C5:F5"/>
    <mergeCell ref="C6:F6"/>
    <mergeCell ref="C7:F7"/>
    <mergeCell ref="B9:H9"/>
    <mergeCell ref="B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19:C19"/>
    <mergeCell ref="E19:F19"/>
    <mergeCell ref="G19:H19"/>
    <mergeCell ref="B20:C20"/>
    <mergeCell ref="E20:F20"/>
    <mergeCell ref="G20:H20"/>
    <mergeCell ref="B21:C21"/>
    <mergeCell ref="E21:F21"/>
    <mergeCell ref="G21:H21"/>
    <mergeCell ref="B25:B26"/>
    <mergeCell ref="C25:F25"/>
    <mergeCell ref="C26:F26"/>
    <mergeCell ref="G25:G26"/>
    <mergeCell ref="H25:H26"/>
    <mergeCell ref="B22:C22"/>
    <mergeCell ref="E22:F22"/>
    <mergeCell ref="G22:H22"/>
    <mergeCell ref="C23:F23"/>
    <mergeCell ref="B24:H24"/>
    <mergeCell ref="C27:F27"/>
    <mergeCell ref="C28:F28"/>
    <mergeCell ref="B29:B30"/>
    <mergeCell ref="C29:F29"/>
    <mergeCell ref="C30:F30"/>
    <mergeCell ref="B34:H34"/>
    <mergeCell ref="H29:H30"/>
    <mergeCell ref="C31:F31"/>
    <mergeCell ref="B32:B33"/>
    <mergeCell ref="C32:F32"/>
    <mergeCell ref="C33:F33"/>
    <mergeCell ref="G32:G33"/>
    <mergeCell ref="H32:H33"/>
    <mergeCell ref="G29:G30"/>
  </mergeCells>
  <pageMargins left="0.25" right="0.25" top="0.75" bottom="0.75" header="0.3" footer="0.3"/>
  <pageSetup scale="93" orientation="portrait" horizontalDpi="1200" verticalDpi="1200" r:id="rId1"/>
  <headerFooter>
    <oddFooter>&amp;L&amp;D&amp;RVersion 1.0 -  June 2017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zoomScaleNormal="100" workbookViewId="0"/>
  </sheetViews>
  <sheetFormatPr defaultColWidth="8.7109375" defaultRowHeight="15"/>
  <cols>
    <col min="1" max="1" width="3" style="1" customWidth="1"/>
    <col min="2" max="2" width="3.28515625" style="13" customWidth="1"/>
    <col min="3" max="3" width="29.28515625" style="1" customWidth="1"/>
    <col min="4" max="4" width="19.7109375" style="1" customWidth="1"/>
    <col min="5" max="5" width="16.140625" style="1" customWidth="1"/>
    <col min="6" max="6" width="14.5703125" style="13" customWidth="1"/>
    <col min="7" max="7" width="8" style="1" customWidth="1"/>
    <col min="8" max="9" width="8.7109375" style="1"/>
    <col min="10" max="10" width="16.85546875" style="1" customWidth="1"/>
    <col min="11" max="11" width="55.7109375" style="1" customWidth="1"/>
    <col min="12" max="16384" width="8.7109375" style="1"/>
  </cols>
  <sheetData>
    <row r="1" spans="1:11">
      <c r="A1" s="19"/>
      <c r="B1" s="20"/>
      <c r="C1" s="19"/>
      <c r="D1" s="19"/>
      <c r="E1" s="19"/>
      <c r="F1" s="20"/>
      <c r="G1" s="19"/>
      <c r="H1" s="19"/>
      <c r="I1" s="19"/>
    </row>
    <row r="2" spans="1:11" ht="26.25" customHeight="1">
      <c r="A2" s="19"/>
      <c r="B2" s="81"/>
      <c r="C2" s="81"/>
      <c r="D2" s="21" t="s">
        <v>123</v>
      </c>
      <c r="E2" s="82"/>
      <c r="F2" s="82"/>
      <c r="G2" s="82"/>
      <c r="H2" s="19"/>
      <c r="I2" s="19"/>
    </row>
    <row r="3" spans="1:11" ht="20.25" customHeight="1">
      <c r="A3" s="19"/>
      <c r="B3" s="81"/>
      <c r="C3" s="81"/>
      <c r="D3" s="21" t="s">
        <v>124</v>
      </c>
      <c r="E3" s="82"/>
      <c r="F3" s="82"/>
      <c r="G3" s="82"/>
      <c r="H3" s="19"/>
      <c r="I3" s="19"/>
      <c r="J3" s="116" t="s">
        <v>214</v>
      </c>
      <c r="K3" s="116"/>
    </row>
    <row r="4" spans="1:11" ht="32.25" customHeight="1">
      <c r="A4" s="19"/>
      <c r="B4" s="104" t="s">
        <v>145</v>
      </c>
      <c r="C4" s="120"/>
      <c r="D4" s="120"/>
      <c r="E4" s="105"/>
      <c r="F4" s="104" t="s">
        <v>75</v>
      </c>
      <c r="G4" s="105"/>
      <c r="H4" s="19"/>
      <c r="I4" s="19"/>
      <c r="J4" s="65" t="s">
        <v>177</v>
      </c>
      <c r="K4" s="65" t="s">
        <v>178</v>
      </c>
    </row>
    <row r="5" spans="1:11">
      <c r="A5" s="19"/>
      <c r="B5" s="39">
        <v>1</v>
      </c>
      <c r="C5" s="75" t="s">
        <v>146</v>
      </c>
      <c r="D5" s="75"/>
      <c r="E5" s="75"/>
      <c r="F5" s="70"/>
      <c r="G5" s="38" t="s">
        <v>3</v>
      </c>
      <c r="H5" s="19"/>
      <c r="I5" s="19"/>
      <c r="J5" s="43">
        <v>12</v>
      </c>
      <c r="K5" s="44" t="s">
        <v>179</v>
      </c>
    </row>
    <row r="6" spans="1:11" ht="21.75" customHeight="1">
      <c r="A6" s="19"/>
      <c r="B6" s="39">
        <v>2</v>
      </c>
      <c r="C6" s="75" t="s">
        <v>4</v>
      </c>
      <c r="D6" s="75"/>
      <c r="E6" s="75"/>
      <c r="F6" s="70"/>
      <c r="G6" s="38"/>
      <c r="H6" s="19"/>
      <c r="I6" s="19"/>
      <c r="J6" s="71">
        <v>24</v>
      </c>
      <c r="K6" s="72" t="s">
        <v>180</v>
      </c>
    </row>
    <row r="7" spans="1:11" ht="29.25" customHeight="1">
      <c r="A7" s="19"/>
      <c r="B7" s="39">
        <v>3</v>
      </c>
      <c r="C7" s="75" t="s">
        <v>147</v>
      </c>
      <c r="D7" s="75"/>
      <c r="E7" s="75"/>
      <c r="F7" s="40">
        <f>F5*F6</f>
        <v>0</v>
      </c>
      <c r="G7" s="38" t="s">
        <v>3</v>
      </c>
      <c r="H7" s="19"/>
      <c r="I7" s="19"/>
      <c r="J7" s="43">
        <v>36</v>
      </c>
      <c r="K7" s="44" t="s">
        <v>181</v>
      </c>
    </row>
    <row r="8" spans="1:11">
      <c r="A8" s="19"/>
      <c r="B8" s="39">
        <v>4</v>
      </c>
      <c r="C8" s="75" t="s">
        <v>148</v>
      </c>
      <c r="D8" s="75"/>
      <c r="E8" s="75"/>
      <c r="F8" s="70"/>
      <c r="G8" s="38" t="s">
        <v>8</v>
      </c>
      <c r="H8" s="19"/>
      <c r="I8" s="19"/>
      <c r="J8" s="71">
        <v>48</v>
      </c>
      <c r="K8" s="72" t="s">
        <v>182</v>
      </c>
    </row>
    <row r="9" spans="1:11">
      <c r="A9" s="19"/>
      <c r="B9" s="39">
        <v>5</v>
      </c>
      <c r="C9" s="75" t="s">
        <v>149</v>
      </c>
      <c r="D9" s="75"/>
      <c r="E9" s="75"/>
      <c r="F9" s="70"/>
      <c r="G9" s="38" t="s">
        <v>150</v>
      </c>
      <c r="H9" s="19"/>
      <c r="I9" s="19"/>
      <c r="J9" s="43">
        <v>72</v>
      </c>
      <c r="K9" s="44" t="s">
        <v>183</v>
      </c>
    </row>
    <row r="10" spans="1:11" ht="33.950000000000003" customHeight="1">
      <c r="A10" s="19"/>
      <c r="B10" s="39">
        <v>6</v>
      </c>
      <c r="C10" s="75" t="s">
        <v>152</v>
      </c>
      <c r="D10" s="75"/>
      <c r="E10" s="75"/>
      <c r="F10" s="70"/>
      <c r="G10" s="38" t="s">
        <v>151</v>
      </c>
      <c r="H10" s="19"/>
      <c r="I10" s="19"/>
      <c r="J10" s="72">
        <v>96</v>
      </c>
      <c r="K10" s="72" t="s">
        <v>184</v>
      </c>
    </row>
    <row r="11" spans="1:11" ht="45" customHeight="1">
      <c r="A11" s="19"/>
      <c r="B11" s="39">
        <v>7</v>
      </c>
      <c r="C11" s="75" t="s">
        <v>154</v>
      </c>
      <c r="D11" s="75"/>
      <c r="E11" s="75"/>
      <c r="F11" s="70"/>
      <c r="G11" s="38" t="s">
        <v>150</v>
      </c>
      <c r="H11" s="19"/>
      <c r="I11" s="19"/>
      <c r="J11" s="44">
        <v>120</v>
      </c>
      <c r="K11" s="44" t="s">
        <v>185</v>
      </c>
    </row>
    <row r="12" spans="1:11">
      <c r="A12" s="19"/>
      <c r="B12" s="39">
        <v>8</v>
      </c>
      <c r="C12" s="117" t="s">
        <v>153</v>
      </c>
      <c r="D12" s="118"/>
      <c r="E12" s="119"/>
      <c r="F12" s="40">
        <v>0.05</v>
      </c>
      <c r="G12" s="38" t="s">
        <v>13</v>
      </c>
      <c r="H12" s="19"/>
      <c r="I12" s="19"/>
    </row>
    <row r="13" spans="1:11">
      <c r="A13" s="19"/>
      <c r="B13" s="76" t="s">
        <v>155</v>
      </c>
      <c r="C13" s="76"/>
      <c r="D13" s="76"/>
      <c r="E13" s="76"/>
      <c r="F13" s="76"/>
      <c r="G13" s="76"/>
      <c r="H13" s="19"/>
      <c r="I13" s="19"/>
    </row>
    <row r="14" spans="1:11" ht="30" customHeight="1">
      <c r="A14" s="19"/>
      <c r="B14" s="39">
        <v>9</v>
      </c>
      <c r="C14" s="75" t="s">
        <v>175</v>
      </c>
      <c r="D14" s="75"/>
      <c r="E14" s="75"/>
      <c r="F14" s="70"/>
      <c r="G14" s="38" t="s">
        <v>18</v>
      </c>
      <c r="H14" s="19"/>
      <c r="I14" s="19"/>
    </row>
    <row r="15" spans="1:11" ht="27" customHeight="1">
      <c r="A15" s="19"/>
      <c r="B15" s="39">
        <v>10</v>
      </c>
      <c r="C15" s="75" t="s">
        <v>174</v>
      </c>
      <c r="D15" s="75"/>
      <c r="E15" s="75"/>
      <c r="F15" s="70"/>
      <c r="G15" s="38" t="s">
        <v>168</v>
      </c>
      <c r="H15" s="19"/>
      <c r="I15" s="19"/>
    </row>
    <row r="16" spans="1:11" ht="24" customHeight="1">
      <c r="A16" s="19"/>
      <c r="B16" s="39">
        <v>11</v>
      </c>
      <c r="C16" s="117" t="s">
        <v>173</v>
      </c>
      <c r="D16" s="118"/>
      <c r="E16" s="119"/>
      <c r="F16" s="40">
        <f>F15*F8</f>
        <v>0</v>
      </c>
      <c r="G16" s="38" t="s">
        <v>8</v>
      </c>
      <c r="H16" s="19"/>
      <c r="I16" s="19"/>
    </row>
    <row r="17" spans="1:9" ht="27" customHeight="1">
      <c r="A17" s="19"/>
      <c r="B17" s="39">
        <v>12</v>
      </c>
      <c r="C17" s="117" t="s">
        <v>172</v>
      </c>
      <c r="D17" s="118"/>
      <c r="E17" s="119"/>
      <c r="F17" s="70"/>
      <c r="G17" s="38" t="s">
        <v>8</v>
      </c>
      <c r="H17" s="19"/>
      <c r="I17" s="19"/>
    </row>
    <row r="18" spans="1:9" ht="24" customHeight="1">
      <c r="A18" s="19"/>
      <c r="B18" s="39">
        <v>13</v>
      </c>
      <c r="C18" s="38" t="s">
        <v>176</v>
      </c>
      <c r="D18" s="121" t="str">
        <f>IF(F17&lt;F16, "Increase Storage", "Storage Requirement is Met")</f>
        <v>Storage Requirement is Met</v>
      </c>
      <c r="E18" s="122"/>
      <c r="F18" s="122"/>
      <c r="G18" s="123"/>
      <c r="H18" s="19"/>
      <c r="I18" s="19"/>
    </row>
    <row r="19" spans="1:9">
      <c r="A19" s="19"/>
      <c r="B19" s="74" t="s">
        <v>156</v>
      </c>
      <c r="C19" s="74"/>
      <c r="D19" s="74"/>
      <c r="E19" s="74"/>
      <c r="F19" s="74"/>
      <c r="G19" s="74"/>
      <c r="H19" s="19"/>
      <c r="I19" s="19"/>
    </row>
    <row r="20" spans="1:9" ht="29.25" customHeight="1">
      <c r="A20" s="19"/>
      <c r="B20" s="39">
        <v>14</v>
      </c>
      <c r="C20" s="73" t="s">
        <v>170</v>
      </c>
      <c r="D20" s="73"/>
      <c r="E20" s="73"/>
      <c r="F20" s="70"/>
      <c r="G20" s="40" t="s">
        <v>164</v>
      </c>
      <c r="H20" s="19"/>
      <c r="I20" s="19"/>
    </row>
    <row r="21" spans="1:9">
      <c r="A21" s="19"/>
      <c r="B21" s="39">
        <v>15</v>
      </c>
      <c r="C21" s="73" t="s">
        <v>171</v>
      </c>
      <c r="D21" s="73"/>
      <c r="E21" s="73"/>
      <c r="F21" s="42">
        <f>IFERROR(ROUND(((3600*F20)/F11),0),0)</f>
        <v>0</v>
      </c>
      <c r="G21" s="40" t="s">
        <v>3</v>
      </c>
      <c r="H21" s="19"/>
      <c r="I21" s="19"/>
    </row>
    <row r="22" spans="1:9">
      <c r="A22" s="19"/>
      <c r="B22" s="74" t="s">
        <v>157</v>
      </c>
      <c r="C22" s="74"/>
      <c r="D22" s="74"/>
      <c r="E22" s="74"/>
      <c r="F22" s="74"/>
      <c r="G22" s="74"/>
      <c r="H22" s="19"/>
      <c r="I22" s="19"/>
    </row>
    <row r="23" spans="1:9" ht="24" customHeight="1">
      <c r="A23" s="19"/>
      <c r="B23" s="39">
        <v>16</v>
      </c>
      <c r="C23" s="73" t="s">
        <v>169</v>
      </c>
      <c r="D23" s="73"/>
      <c r="E23" s="73"/>
      <c r="F23" s="70"/>
      <c r="G23" s="40" t="s">
        <v>168</v>
      </c>
      <c r="H23" s="19"/>
      <c r="I23" s="19"/>
    </row>
    <row r="24" spans="1:9">
      <c r="A24" s="19"/>
      <c r="B24" s="39">
        <v>17</v>
      </c>
      <c r="C24" s="73" t="s">
        <v>167</v>
      </c>
      <c r="D24" s="73"/>
      <c r="E24" s="73"/>
      <c r="F24" s="42">
        <f>ROUND(F23*F7,0)</f>
        <v>0</v>
      </c>
      <c r="G24" s="40" t="s">
        <v>3</v>
      </c>
      <c r="H24" s="19"/>
      <c r="I24" s="19"/>
    </row>
    <row r="25" spans="1:9">
      <c r="A25" s="19"/>
      <c r="B25" s="74" t="s">
        <v>161</v>
      </c>
      <c r="C25" s="74"/>
      <c r="D25" s="74"/>
      <c r="E25" s="74"/>
      <c r="F25" s="74"/>
      <c r="G25" s="74"/>
      <c r="H25" s="19"/>
      <c r="I25" s="19"/>
    </row>
    <row r="26" spans="1:9">
      <c r="A26" s="19"/>
      <c r="B26" s="39">
        <v>18</v>
      </c>
      <c r="C26" s="73" t="s">
        <v>162</v>
      </c>
      <c r="D26" s="73"/>
      <c r="E26" s="73"/>
      <c r="F26" s="70"/>
      <c r="G26" s="40" t="s">
        <v>8</v>
      </c>
      <c r="H26" s="19"/>
      <c r="I26" s="19"/>
    </row>
    <row r="27" spans="1:9">
      <c r="A27" s="19"/>
      <c r="B27" s="39">
        <v>19</v>
      </c>
      <c r="C27" s="73" t="s">
        <v>163</v>
      </c>
      <c r="D27" s="73"/>
      <c r="E27" s="73"/>
      <c r="F27" s="70"/>
      <c r="G27" s="40" t="s">
        <v>164</v>
      </c>
      <c r="H27" s="19"/>
      <c r="I27" s="19"/>
    </row>
    <row r="28" spans="1:9" ht="26.25" customHeight="1">
      <c r="A28" s="19"/>
      <c r="B28" s="39">
        <v>20</v>
      </c>
      <c r="C28" s="73" t="s">
        <v>165</v>
      </c>
      <c r="D28" s="73"/>
      <c r="E28" s="73"/>
      <c r="F28" s="42">
        <f>IFERROR((F10*F12)+(((F8)/(2400*F27))*F9),0)</f>
        <v>0</v>
      </c>
      <c r="G28" s="40" t="s">
        <v>166</v>
      </c>
      <c r="H28" s="19"/>
      <c r="I28" s="19"/>
    </row>
    <row r="29" spans="1:9">
      <c r="A29" s="19"/>
      <c r="B29" s="39">
        <v>21</v>
      </c>
      <c r="C29" s="73" t="s">
        <v>160</v>
      </c>
      <c r="D29" s="73"/>
      <c r="E29" s="73"/>
      <c r="F29" s="42">
        <f>IFERROR(ROUND(F26/F28,0),0)</f>
        <v>0</v>
      </c>
      <c r="G29" s="40" t="s">
        <v>3</v>
      </c>
      <c r="H29" s="19"/>
      <c r="I29" s="19"/>
    </row>
    <row r="30" spans="1:9">
      <c r="A30" s="19"/>
      <c r="B30" s="74" t="s">
        <v>158</v>
      </c>
      <c r="C30" s="74"/>
      <c r="D30" s="74"/>
      <c r="E30" s="74"/>
      <c r="F30" s="74"/>
      <c r="G30" s="74"/>
      <c r="H30" s="19"/>
      <c r="I30" s="19"/>
    </row>
    <row r="31" spans="1:9">
      <c r="A31" s="19"/>
      <c r="B31" s="39">
        <v>22</v>
      </c>
      <c r="C31" s="73" t="s">
        <v>159</v>
      </c>
      <c r="D31" s="73"/>
      <c r="E31" s="73"/>
      <c r="F31" s="42">
        <f>ROUND(MAX(F21,F24,F29),0)</f>
        <v>0</v>
      </c>
      <c r="G31" s="40" t="s">
        <v>3</v>
      </c>
      <c r="H31" s="19"/>
      <c r="I31" s="19"/>
    </row>
    <row r="32" spans="1:9">
      <c r="A32" s="19"/>
      <c r="B32" s="20"/>
      <c r="C32" s="19"/>
      <c r="D32" s="19"/>
      <c r="E32" s="19"/>
      <c r="F32" s="20"/>
      <c r="G32" s="19"/>
      <c r="H32" s="19"/>
      <c r="I32" s="19"/>
    </row>
    <row r="33" spans="1:9">
      <c r="A33" s="19"/>
      <c r="B33" s="20"/>
      <c r="C33" s="19"/>
      <c r="D33" s="19"/>
      <c r="E33" s="19"/>
      <c r="F33" s="20"/>
      <c r="G33" s="19"/>
      <c r="H33" s="19"/>
      <c r="I33" s="19"/>
    </row>
    <row r="34" spans="1:9">
      <c r="A34" s="19"/>
      <c r="B34" s="20"/>
      <c r="C34" s="19"/>
      <c r="D34" s="19"/>
      <c r="E34" s="19"/>
      <c r="F34" s="20"/>
      <c r="G34" s="19"/>
      <c r="H34" s="19"/>
      <c r="I34" s="19"/>
    </row>
    <row r="35" spans="1:9">
      <c r="A35" s="19"/>
      <c r="B35" s="20"/>
      <c r="C35" s="19"/>
      <c r="D35" s="19"/>
      <c r="E35" s="19"/>
      <c r="F35" s="20"/>
      <c r="G35" s="19"/>
      <c r="H35" s="19"/>
      <c r="I35" s="19"/>
    </row>
    <row r="36" spans="1:9">
      <c r="A36" s="19"/>
      <c r="B36" s="20"/>
      <c r="C36" s="19"/>
      <c r="D36" s="19"/>
      <c r="E36" s="19"/>
      <c r="F36" s="20"/>
      <c r="G36" s="19"/>
      <c r="H36" s="19"/>
      <c r="I36" s="19"/>
    </row>
  </sheetData>
  <mergeCells count="33">
    <mergeCell ref="B4:E4"/>
    <mergeCell ref="C17:E17"/>
    <mergeCell ref="B25:G25"/>
    <mergeCell ref="D18:G18"/>
    <mergeCell ref="C15:E15"/>
    <mergeCell ref="C31:E31"/>
    <mergeCell ref="C28:E28"/>
    <mergeCell ref="B19:G19"/>
    <mergeCell ref="C20:E20"/>
    <mergeCell ref="C21:E21"/>
    <mergeCell ref="B22:G22"/>
    <mergeCell ref="C23:E23"/>
    <mergeCell ref="C26:E26"/>
    <mergeCell ref="C29:E29"/>
    <mergeCell ref="C27:E27"/>
    <mergeCell ref="C24:E24"/>
    <mergeCell ref="B30:G30"/>
    <mergeCell ref="J3:K3"/>
    <mergeCell ref="C11:E11"/>
    <mergeCell ref="B13:G13"/>
    <mergeCell ref="C14:E14"/>
    <mergeCell ref="C16:E16"/>
    <mergeCell ref="C7:E7"/>
    <mergeCell ref="C8:E8"/>
    <mergeCell ref="C9:E9"/>
    <mergeCell ref="C10:E10"/>
    <mergeCell ref="C12:E12"/>
    <mergeCell ref="B2:C3"/>
    <mergeCell ref="E2:G2"/>
    <mergeCell ref="E3:G3"/>
    <mergeCell ref="C5:E5"/>
    <mergeCell ref="C6:E6"/>
    <mergeCell ref="F4:G4"/>
  </mergeCells>
  <pageMargins left="0.25" right="0.25" top="0.75" bottom="0.75" header="0.3" footer="0.3"/>
  <pageSetup scale="99" orientation="portrait" verticalDpi="1200" r:id="rId1"/>
  <headerFooter>
    <oddFooter>&amp;L&amp;D&amp;RVersion 1.0 - June 2017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P33"/>
  <sheetViews>
    <sheetView showGridLines="0" zoomScaleNormal="100" workbookViewId="0"/>
  </sheetViews>
  <sheetFormatPr defaultColWidth="9.140625" defaultRowHeight="15"/>
  <cols>
    <col min="1" max="1" width="9.140625" style="1"/>
    <col min="2" max="2" width="11.5703125" style="1" customWidth="1"/>
    <col min="3" max="3" width="20" style="1" customWidth="1"/>
    <col min="4" max="4" width="27.28515625" style="1" customWidth="1"/>
    <col min="5" max="5" width="11.7109375" style="1" customWidth="1"/>
    <col min="6" max="6" width="3.28515625" style="1" customWidth="1"/>
    <col min="7" max="7" width="7.5703125" style="1" customWidth="1"/>
    <col min="8" max="9" width="4" style="1" customWidth="1"/>
    <col min="10" max="10" width="4.140625" style="1" customWidth="1"/>
    <col min="11" max="11" width="11.85546875" style="1" bestFit="1" customWidth="1"/>
    <col min="12" max="12" width="11.42578125" style="1" customWidth="1"/>
    <col min="13" max="16384" width="9.140625" style="1"/>
  </cols>
  <sheetData>
    <row r="2" spans="2:16" ht="26.25" customHeight="1">
      <c r="B2" s="81"/>
      <c r="C2" s="81"/>
      <c r="D2" s="21" t="s">
        <v>123</v>
      </c>
      <c r="E2" s="131"/>
      <c r="F2" s="131"/>
      <c r="G2" s="131"/>
      <c r="H2" s="131"/>
      <c r="I2" s="131"/>
      <c r="J2" s="131"/>
      <c r="K2" s="131"/>
      <c r="L2" s="131"/>
    </row>
    <row r="3" spans="2:16" ht="27" customHeight="1">
      <c r="B3" s="81"/>
      <c r="C3" s="81"/>
      <c r="D3" s="21" t="s">
        <v>124</v>
      </c>
      <c r="E3" s="131"/>
      <c r="F3" s="131"/>
      <c r="G3" s="131"/>
      <c r="H3" s="131"/>
      <c r="I3" s="131"/>
      <c r="J3" s="131"/>
      <c r="K3" s="131"/>
      <c r="L3" s="131"/>
    </row>
    <row r="4" spans="2:16">
      <c r="B4" s="90" t="s">
        <v>74</v>
      </c>
      <c r="C4" s="90"/>
      <c r="D4" s="90"/>
      <c r="E4" s="90"/>
      <c r="F4" s="90"/>
      <c r="G4" s="86" t="s">
        <v>90</v>
      </c>
      <c r="H4" s="86"/>
      <c r="I4" s="86"/>
      <c r="J4" s="86"/>
      <c r="K4" s="86"/>
      <c r="L4" s="86"/>
    </row>
    <row r="5" spans="2:16">
      <c r="B5" s="22">
        <v>1</v>
      </c>
      <c r="C5" s="73" t="s">
        <v>76</v>
      </c>
      <c r="D5" s="73"/>
      <c r="E5" s="73"/>
      <c r="F5" s="73"/>
      <c r="G5" s="73"/>
      <c r="H5" s="73"/>
      <c r="I5" s="73"/>
      <c r="J5" s="111"/>
      <c r="K5" s="111"/>
      <c r="L5" s="24" t="s">
        <v>3</v>
      </c>
    </row>
    <row r="6" spans="2:16" ht="24" customHeight="1">
      <c r="B6" s="22">
        <v>2</v>
      </c>
      <c r="C6" s="73" t="s">
        <v>4</v>
      </c>
      <c r="D6" s="73"/>
      <c r="E6" s="73"/>
      <c r="F6" s="73"/>
      <c r="G6" s="73"/>
      <c r="H6" s="73"/>
      <c r="I6" s="73"/>
      <c r="J6" s="111"/>
      <c r="K6" s="111"/>
      <c r="L6" s="24"/>
    </row>
    <row r="7" spans="2:16" ht="24" customHeight="1">
      <c r="B7" s="22">
        <v>3</v>
      </c>
      <c r="C7" s="73" t="s">
        <v>77</v>
      </c>
      <c r="D7" s="73"/>
      <c r="E7" s="73"/>
      <c r="F7" s="73"/>
      <c r="G7" s="73"/>
      <c r="H7" s="73"/>
      <c r="I7" s="73"/>
      <c r="J7" s="109">
        <f>J6*J5</f>
        <v>0</v>
      </c>
      <c r="K7" s="109"/>
      <c r="L7" s="24" t="s">
        <v>3</v>
      </c>
    </row>
    <row r="8" spans="2:16">
      <c r="B8" s="22">
        <v>4</v>
      </c>
      <c r="C8" s="73" t="s">
        <v>78</v>
      </c>
      <c r="D8" s="73"/>
      <c r="E8" s="73"/>
      <c r="F8" s="73"/>
      <c r="G8" s="73"/>
      <c r="H8" s="73"/>
      <c r="I8" s="73"/>
      <c r="J8" s="109">
        <f>J7*0.03</f>
        <v>0</v>
      </c>
      <c r="K8" s="109"/>
      <c r="L8" s="24" t="s">
        <v>3</v>
      </c>
    </row>
    <row r="9" spans="2:16">
      <c r="B9" s="22">
        <v>5</v>
      </c>
      <c r="C9" s="73" t="s">
        <v>79</v>
      </c>
      <c r="D9" s="73"/>
      <c r="E9" s="73"/>
      <c r="F9" s="73"/>
      <c r="G9" s="73"/>
      <c r="H9" s="73"/>
      <c r="I9" s="73"/>
      <c r="J9" s="111"/>
      <c r="K9" s="111"/>
      <c r="L9" s="24" t="s">
        <v>3</v>
      </c>
    </row>
    <row r="10" spans="2:16">
      <c r="B10" s="74" t="s">
        <v>80</v>
      </c>
      <c r="C10" s="74"/>
      <c r="D10" s="74"/>
      <c r="E10" s="74"/>
      <c r="F10" s="74"/>
      <c r="G10" s="74"/>
      <c r="H10" s="74"/>
      <c r="I10" s="74"/>
      <c r="J10" s="74"/>
      <c r="K10" s="74"/>
      <c r="L10" s="74"/>
      <c r="P10" s="19"/>
    </row>
    <row r="11" spans="2:16">
      <c r="B11" s="68"/>
      <c r="C11" s="68"/>
      <c r="D11" s="67" t="s">
        <v>81</v>
      </c>
      <c r="E11" s="67">
        <v>1</v>
      </c>
      <c r="F11" s="115">
        <v>2</v>
      </c>
      <c r="G11" s="115"/>
      <c r="H11" s="115">
        <v>3</v>
      </c>
      <c r="I11" s="115"/>
      <c r="J11" s="115"/>
      <c r="K11" s="67">
        <v>4</v>
      </c>
      <c r="L11" s="67">
        <v>5</v>
      </c>
    </row>
    <row r="12" spans="2:16" ht="34.5" customHeight="1">
      <c r="B12" s="22">
        <v>6</v>
      </c>
      <c r="C12" s="73" t="s">
        <v>217</v>
      </c>
      <c r="D12" s="73"/>
      <c r="E12" s="70"/>
      <c r="F12" s="111"/>
      <c r="G12" s="111"/>
      <c r="H12" s="111"/>
      <c r="I12" s="111"/>
      <c r="J12" s="111"/>
      <c r="K12" s="70"/>
      <c r="L12" s="70"/>
      <c r="P12" s="19"/>
    </row>
    <row r="13" spans="2:16" ht="29.25" customHeight="1">
      <c r="B13" s="22">
        <v>7</v>
      </c>
      <c r="C13" s="73" t="s">
        <v>82</v>
      </c>
      <c r="D13" s="73"/>
      <c r="E13" s="70"/>
      <c r="F13" s="111"/>
      <c r="G13" s="111"/>
      <c r="H13" s="111"/>
      <c r="I13" s="111"/>
      <c r="J13" s="111"/>
      <c r="K13" s="70"/>
      <c r="L13" s="70"/>
    </row>
    <row r="14" spans="2:16">
      <c r="B14" s="77">
        <v>8</v>
      </c>
      <c r="C14" s="92" t="s">
        <v>83</v>
      </c>
      <c r="D14" s="92"/>
      <c r="E14" s="132">
        <f>MAX(0, IFERROR(E13/E12,0))</f>
        <v>0</v>
      </c>
      <c r="F14" s="132">
        <f>MAX(0,IFERROR(F13/F12,0))</f>
        <v>0</v>
      </c>
      <c r="G14" s="132"/>
      <c r="H14" s="132">
        <f>MAX(0, IFERROR(H13/H12,0))</f>
        <v>0</v>
      </c>
      <c r="I14" s="132"/>
      <c r="J14" s="132"/>
      <c r="K14" s="132">
        <f>MAX(0, IFERROR(K13/K12,0))</f>
        <v>0</v>
      </c>
      <c r="L14" s="132">
        <f>MAX(0, IFERROR(L13/L12,0))</f>
        <v>0</v>
      </c>
    </row>
    <row r="15" spans="2:16">
      <c r="B15" s="77"/>
      <c r="C15" s="93" t="s">
        <v>84</v>
      </c>
      <c r="D15" s="93"/>
      <c r="E15" s="132"/>
      <c r="F15" s="132"/>
      <c r="G15" s="132"/>
      <c r="H15" s="132"/>
      <c r="I15" s="132"/>
      <c r="J15" s="132"/>
      <c r="K15" s="132"/>
      <c r="L15" s="132"/>
    </row>
    <row r="16" spans="2:16">
      <c r="B16" s="77">
        <v>9</v>
      </c>
      <c r="C16" s="92" t="s">
        <v>85</v>
      </c>
      <c r="D16" s="92"/>
      <c r="E16" s="80">
        <f>IF(E14=0, 0, ROUND(IF(E14&gt;1.5, E12,E13/1.5),0))</f>
        <v>0</v>
      </c>
      <c r="F16" s="80">
        <f>IF(F14=0,0, ROUND(IF(F14&gt;1.5,F12,F13/1.5),0))</f>
        <v>0</v>
      </c>
      <c r="G16" s="80"/>
      <c r="H16" s="80">
        <f>IF(H14=0, 0, ROUND(IF(H14&gt;1.5,H12,H13/1.5),0))</f>
        <v>0</v>
      </c>
      <c r="I16" s="80"/>
      <c r="J16" s="80"/>
      <c r="K16" s="80">
        <f>IF(K14=0, 0, ROUND(IF(K14&gt;1.5,K12,K13/1.5),0))</f>
        <v>0</v>
      </c>
      <c r="L16" s="80">
        <f>IF(L14=0, 0, ROUND(IF(L14&gt;1.5,L12,L13/1.5),0))</f>
        <v>0</v>
      </c>
    </row>
    <row r="17" spans="2:12">
      <c r="B17" s="77"/>
      <c r="C17" s="93" t="s">
        <v>91</v>
      </c>
      <c r="D17" s="93"/>
      <c r="E17" s="80"/>
      <c r="F17" s="80"/>
      <c r="G17" s="80"/>
      <c r="H17" s="80"/>
      <c r="I17" s="80"/>
      <c r="J17" s="80"/>
      <c r="K17" s="80"/>
      <c r="L17" s="80"/>
    </row>
    <row r="18" spans="2:12" ht="15" customHeight="1">
      <c r="B18" s="22">
        <v>10</v>
      </c>
      <c r="C18" s="73" t="s">
        <v>86</v>
      </c>
      <c r="D18" s="73"/>
      <c r="E18" s="73"/>
      <c r="F18" s="73"/>
      <c r="G18" s="73"/>
      <c r="H18" s="73"/>
      <c r="I18" s="80">
        <f>E16+F16+H16+K16+L16</f>
        <v>0</v>
      </c>
      <c r="J18" s="80"/>
      <c r="K18" s="80"/>
      <c r="L18" s="24" t="s">
        <v>3</v>
      </c>
    </row>
    <row r="19" spans="2:12" ht="24" customHeight="1">
      <c r="B19" s="22">
        <v>11</v>
      </c>
      <c r="C19" s="73" t="s">
        <v>87</v>
      </c>
      <c r="D19" s="73"/>
      <c r="E19" s="73"/>
      <c r="F19" s="73"/>
      <c r="G19" s="73"/>
      <c r="H19" s="73"/>
      <c r="I19" s="80">
        <f>I18+J9</f>
        <v>0</v>
      </c>
      <c r="J19" s="80"/>
      <c r="K19" s="80"/>
      <c r="L19" s="24" t="s">
        <v>3</v>
      </c>
    </row>
    <row r="20" spans="2:12">
      <c r="B20" s="74" t="s">
        <v>88</v>
      </c>
      <c r="C20" s="74"/>
      <c r="D20" s="74"/>
      <c r="E20" s="74"/>
      <c r="F20" s="74"/>
      <c r="G20" s="74"/>
      <c r="H20" s="74"/>
      <c r="I20" s="74"/>
      <c r="J20" s="74"/>
      <c r="K20" s="74"/>
      <c r="L20" s="74"/>
    </row>
    <row r="21" spans="2:12">
      <c r="B21" s="39">
        <v>12</v>
      </c>
      <c r="C21" s="117" t="s">
        <v>186</v>
      </c>
      <c r="D21" s="119"/>
      <c r="E21" s="121" t="str">
        <f>IF(I19&lt;J8,"No, Proceed to Line 13", "Volume Retention Performance Standard is Met")</f>
        <v>Volume Retention Performance Standard is Met</v>
      </c>
      <c r="F21" s="122"/>
      <c r="G21" s="122"/>
      <c r="H21" s="122"/>
      <c r="I21" s="122"/>
      <c r="J21" s="122"/>
      <c r="K21" s="122"/>
      <c r="L21" s="123"/>
    </row>
    <row r="22" spans="2:12" ht="24" customHeight="1">
      <c r="B22" s="39">
        <v>13</v>
      </c>
      <c r="C22" s="73" t="s">
        <v>189</v>
      </c>
      <c r="D22" s="73"/>
      <c r="E22" s="73"/>
      <c r="F22" s="73"/>
      <c r="G22" s="73"/>
      <c r="H22" s="73"/>
      <c r="I22" s="80">
        <f>ROUND(IFERROR(I19/J8,0),2)</f>
        <v>0</v>
      </c>
      <c r="J22" s="80"/>
      <c r="K22" s="80"/>
      <c r="L22" s="40"/>
    </row>
    <row r="23" spans="2:12">
      <c r="B23" s="39">
        <v>14</v>
      </c>
      <c r="C23" s="73" t="s">
        <v>188</v>
      </c>
      <c r="D23" s="73"/>
      <c r="E23" s="73"/>
      <c r="F23" s="73"/>
      <c r="G23" s="73"/>
      <c r="H23" s="73"/>
      <c r="I23" s="111"/>
      <c r="J23" s="111"/>
      <c r="K23" s="111"/>
      <c r="L23" s="40" t="s">
        <v>8</v>
      </c>
    </row>
    <row r="24" spans="2:12" ht="24.75" customHeight="1">
      <c r="B24" s="39">
        <v>15</v>
      </c>
      <c r="C24" s="73" t="s">
        <v>187</v>
      </c>
      <c r="D24" s="73"/>
      <c r="E24" s="73"/>
      <c r="F24" s="73"/>
      <c r="G24" s="73"/>
      <c r="H24" s="73"/>
      <c r="I24" s="80">
        <f>((1-I22)*I23)</f>
        <v>0</v>
      </c>
      <c r="J24" s="80"/>
      <c r="K24" s="80"/>
      <c r="L24" s="40" t="s">
        <v>8</v>
      </c>
    </row>
    <row r="25" spans="2:12">
      <c r="B25" s="74" t="s">
        <v>190</v>
      </c>
      <c r="C25" s="74"/>
      <c r="D25" s="74"/>
      <c r="E25" s="74"/>
      <c r="F25" s="74"/>
      <c r="G25" s="74"/>
      <c r="H25" s="74"/>
      <c r="I25" s="74"/>
      <c r="J25" s="74"/>
      <c r="K25" s="74"/>
      <c r="L25" s="74"/>
    </row>
    <row r="26" spans="2:12">
      <c r="B26" s="69"/>
      <c r="C26" s="68" t="s">
        <v>81</v>
      </c>
      <c r="D26" s="124" t="s">
        <v>192</v>
      </c>
      <c r="E26" s="125"/>
      <c r="F26" s="125"/>
      <c r="G26" s="125"/>
      <c r="H26" s="126"/>
      <c r="I26" s="124" t="s">
        <v>191</v>
      </c>
      <c r="J26" s="125"/>
      <c r="K26" s="126"/>
      <c r="L26" s="69"/>
    </row>
    <row r="27" spans="2:12">
      <c r="B27" s="94">
        <v>16</v>
      </c>
      <c r="C27" s="68">
        <v>1</v>
      </c>
      <c r="D27" s="128"/>
      <c r="E27" s="129"/>
      <c r="F27" s="129"/>
      <c r="G27" s="129"/>
      <c r="H27" s="130"/>
      <c r="I27" s="111"/>
      <c r="J27" s="111"/>
      <c r="K27" s="111"/>
      <c r="L27" s="40" t="s">
        <v>8</v>
      </c>
    </row>
    <row r="28" spans="2:12">
      <c r="B28" s="127"/>
      <c r="C28" s="68">
        <v>2</v>
      </c>
      <c r="D28" s="128"/>
      <c r="E28" s="129"/>
      <c r="F28" s="129"/>
      <c r="G28" s="129"/>
      <c r="H28" s="130"/>
      <c r="I28" s="111"/>
      <c r="J28" s="111"/>
      <c r="K28" s="111"/>
      <c r="L28" s="40" t="s">
        <v>8</v>
      </c>
    </row>
    <row r="29" spans="2:12">
      <c r="B29" s="127"/>
      <c r="C29" s="68">
        <v>3</v>
      </c>
      <c r="D29" s="128"/>
      <c r="E29" s="129"/>
      <c r="F29" s="129"/>
      <c r="G29" s="129"/>
      <c r="H29" s="130"/>
      <c r="I29" s="111"/>
      <c r="J29" s="111"/>
      <c r="K29" s="111"/>
      <c r="L29" s="40" t="s">
        <v>8</v>
      </c>
    </row>
    <row r="30" spans="2:12">
      <c r="B30" s="127"/>
      <c r="C30" s="68">
        <v>4</v>
      </c>
      <c r="D30" s="128"/>
      <c r="E30" s="129"/>
      <c r="F30" s="129"/>
      <c r="G30" s="129"/>
      <c r="H30" s="130"/>
      <c r="I30" s="111"/>
      <c r="J30" s="111"/>
      <c r="K30" s="111"/>
      <c r="L30" s="40" t="s">
        <v>8</v>
      </c>
    </row>
    <row r="31" spans="2:12">
      <c r="B31" s="127"/>
      <c r="C31" s="68">
        <v>5</v>
      </c>
      <c r="D31" s="128"/>
      <c r="E31" s="129"/>
      <c r="F31" s="129"/>
      <c r="G31" s="129"/>
      <c r="H31" s="130"/>
      <c r="I31" s="111"/>
      <c r="J31" s="111"/>
      <c r="K31" s="111"/>
      <c r="L31" s="40" t="s">
        <v>8</v>
      </c>
    </row>
    <row r="32" spans="2:12" ht="54.75" customHeight="1">
      <c r="B32" s="95"/>
      <c r="C32" s="117" t="s">
        <v>216</v>
      </c>
      <c r="D32" s="118"/>
      <c r="E32" s="118"/>
      <c r="F32" s="118"/>
      <c r="G32" s="118"/>
      <c r="H32" s="119"/>
      <c r="I32" s="121">
        <f>SUM(I27:K31)</f>
        <v>0</v>
      </c>
      <c r="J32" s="122"/>
      <c r="K32" s="123"/>
      <c r="L32" s="40" t="s">
        <v>8</v>
      </c>
    </row>
    <row r="33" spans="2:12" ht="15" customHeight="1">
      <c r="B33" s="39">
        <v>17</v>
      </c>
      <c r="C33" s="117" t="s">
        <v>193</v>
      </c>
      <c r="D33" s="119"/>
      <c r="E33" s="121" t="str">
        <f>IF(I32&lt;I24,"Implement Additional Site Design BMPs", "Volume Retention Performance Standard is Met")</f>
        <v>Volume Retention Performance Standard is Met</v>
      </c>
      <c r="F33" s="122"/>
      <c r="G33" s="122"/>
      <c r="H33" s="122"/>
      <c r="I33" s="122"/>
      <c r="J33" s="122"/>
      <c r="K33" s="122"/>
      <c r="L33" s="123"/>
    </row>
  </sheetData>
  <mergeCells count="71">
    <mergeCell ref="C7:I7"/>
    <mergeCell ref="C22:H22"/>
    <mergeCell ref="I22:K22"/>
    <mergeCell ref="B20:L20"/>
    <mergeCell ref="C18:H18"/>
    <mergeCell ref="C19:H19"/>
    <mergeCell ref="L16:L17"/>
    <mergeCell ref="B14:B15"/>
    <mergeCell ref="E14:E15"/>
    <mergeCell ref="F14:G15"/>
    <mergeCell ref="H14:J15"/>
    <mergeCell ref="K14:K15"/>
    <mergeCell ref="L14:L15"/>
    <mergeCell ref="B16:B17"/>
    <mergeCell ref="E16:E17"/>
    <mergeCell ref="F16:G17"/>
    <mergeCell ref="C23:H23"/>
    <mergeCell ref="I23:K23"/>
    <mergeCell ref="B2:C3"/>
    <mergeCell ref="E2:L2"/>
    <mergeCell ref="E3:L3"/>
    <mergeCell ref="C12:D12"/>
    <mergeCell ref="C13:D13"/>
    <mergeCell ref="F13:G13"/>
    <mergeCell ref="H13:J13"/>
    <mergeCell ref="J7:K7"/>
    <mergeCell ref="J8:K8"/>
    <mergeCell ref="J9:K9"/>
    <mergeCell ref="B10:L10"/>
    <mergeCell ref="F11:G11"/>
    <mergeCell ref="I18:K18"/>
    <mergeCell ref="I19:K19"/>
    <mergeCell ref="H16:J17"/>
    <mergeCell ref="K16:K17"/>
    <mergeCell ref="C14:D14"/>
    <mergeCell ref="C15:D15"/>
    <mergeCell ref="C16:D16"/>
    <mergeCell ref="C17:D17"/>
    <mergeCell ref="C8:I8"/>
    <mergeCell ref="C9:I9"/>
    <mergeCell ref="H11:J11"/>
    <mergeCell ref="F12:G12"/>
    <mergeCell ref="H12:J12"/>
    <mergeCell ref="B4:F4"/>
    <mergeCell ref="G4:L4"/>
    <mergeCell ref="J5:K5"/>
    <mergeCell ref="J6:K6"/>
    <mergeCell ref="C5:I5"/>
    <mergeCell ref="C6:I6"/>
    <mergeCell ref="I30:K30"/>
    <mergeCell ref="I31:K31"/>
    <mergeCell ref="C24:H24"/>
    <mergeCell ref="I24:K24"/>
    <mergeCell ref="I27:K27"/>
    <mergeCell ref="I28:K28"/>
    <mergeCell ref="E33:L33"/>
    <mergeCell ref="B25:L25"/>
    <mergeCell ref="C21:D21"/>
    <mergeCell ref="E21:L21"/>
    <mergeCell ref="I26:K26"/>
    <mergeCell ref="D26:H26"/>
    <mergeCell ref="C32:H32"/>
    <mergeCell ref="I32:K32"/>
    <mergeCell ref="B27:B32"/>
    <mergeCell ref="D27:H27"/>
    <mergeCell ref="D28:H28"/>
    <mergeCell ref="D29:H29"/>
    <mergeCell ref="D30:H30"/>
    <mergeCell ref="D31:H31"/>
    <mergeCell ref="C33:D33"/>
    <mergeCell ref="I29:K29"/>
  </mergeCells>
  <pageMargins left="0.7" right="0.7" top="0.75" bottom="0.75" header="0.3" footer="0.3"/>
  <pageSetup scale="78" orientation="landscape" verticalDpi="1200" r:id="rId1"/>
  <headerFooter>
    <oddFooter>&amp;L&amp;D&amp;RVersion 1.0 - June 2017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CT48"/>
  <sheetViews>
    <sheetView showGridLines="0" zoomScaleNormal="100" workbookViewId="0"/>
  </sheetViews>
  <sheetFormatPr defaultColWidth="9.140625" defaultRowHeight="15"/>
  <cols>
    <col min="1" max="1" width="9.140625" style="1"/>
    <col min="2" max="2" width="7.28515625" style="1" customWidth="1"/>
    <col min="3" max="3" width="24.5703125" style="1" customWidth="1"/>
    <col min="4" max="4" width="29.7109375" style="1" customWidth="1"/>
    <col min="5" max="5" width="14.42578125" style="1" customWidth="1"/>
    <col min="6" max="6" width="18" style="1" customWidth="1"/>
    <col min="7" max="7" width="17.85546875" style="1" customWidth="1"/>
    <col min="8" max="10" width="9.140625" style="1"/>
    <col min="11" max="11" width="9.140625" style="1" customWidth="1"/>
    <col min="12" max="12" width="9.140625" style="1" hidden="1" customWidth="1"/>
    <col min="13" max="13" width="22.7109375" style="1" hidden="1" customWidth="1"/>
    <col min="14" max="18" width="9.140625" style="1" hidden="1" customWidth="1"/>
    <col min="19" max="29" width="0" style="1" hidden="1" customWidth="1"/>
    <col min="30" max="30" width="14.7109375" style="1" hidden="1" customWidth="1"/>
    <col min="31" max="43" width="0" style="1" hidden="1" customWidth="1"/>
    <col min="44" max="44" width="14.7109375" style="1" hidden="1" customWidth="1"/>
    <col min="45" max="57" width="0" style="1" hidden="1" customWidth="1"/>
    <col min="58" max="58" width="14.7109375" style="1" hidden="1" customWidth="1"/>
    <col min="59" max="71" width="0" style="1" hidden="1" customWidth="1"/>
    <col min="72" max="72" width="14.7109375" style="1" hidden="1" customWidth="1"/>
    <col min="73" max="85" width="0" style="1" hidden="1" customWidth="1"/>
    <col min="86" max="86" width="14.7109375" style="1" hidden="1" customWidth="1"/>
    <col min="87" max="100" width="0" style="1" hidden="1" customWidth="1"/>
    <col min="101" max="16384" width="9.140625" style="1"/>
  </cols>
  <sheetData>
    <row r="2" spans="2:98" ht="24" customHeight="1">
      <c r="B2" s="81"/>
      <c r="C2" s="81"/>
      <c r="D2" s="21" t="s">
        <v>123</v>
      </c>
      <c r="E2" s="82"/>
      <c r="F2" s="82"/>
      <c r="G2" s="82"/>
      <c r="H2" s="19"/>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row>
    <row r="3" spans="2:98" ht="26.25" customHeight="1">
      <c r="B3" s="81"/>
      <c r="C3" s="81"/>
      <c r="D3" s="21" t="s">
        <v>124</v>
      </c>
      <c r="E3" s="82"/>
      <c r="F3" s="82"/>
      <c r="G3" s="82"/>
      <c r="H3" s="19"/>
      <c r="M3" s="6"/>
      <c r="N3" s="6"/>
      <c r="O3" s="6"/>
      <c r="P3" s="6"/>
      <c r="Q3" s="6"/>
      <c r="R3" s="6"/>
      <c r="S3" s="6"/>
      <c r="T3" s="6">
        <v>3</v>
      </c>
      <c r="U3" s="6"/>
      <c r="V3" s="6"/>
      <c r="W3" s="6"/>
      <c r="X3" s="6"/>
      <c r="Y3" s="6"/>
      <c r="Z3" s="6"/>
      <c r="AA3" s="6"/>
      <c r="AB3" s="6"/>
      <c r="AC3" s="6"/>
      <c r="AD3" s="6"/>
      <c r="AE3" s="6"/>
      <c r="AF3" s="6"/>
      <c r="AG3" s="6"/>
      <c r="AH3" s="6">
        <v>6</v>
      </c>
      <c r="AI3" s="6"/>
      <c r="AJ3" s="6"/>
      <c r="AK3" s="6"/>
      <c r="AL3" s="6"/>
      <c r="AM3" s="6"/>
      <c r="AN3" s="6"/>
      <c r="AO3" s="6"/>
      <c r="AP3" s="6"/>
      <c r="AQ3" s="6"/>
      <c r="AR3" s="6"/>
      <c r="AS3" s="6"/>
      <c r="AT3" s="6"/>
      <c r="AU3" s="6"/>
      <c r="AV3" s="6">
        <v>9</v>
      </c>
      <c r="AW3" s="6"/>
      <c r="AX3" s="6"/>
      <c r="AY3" s="6"/>
      <c r="AZ3" s="6"/>
      <c r="BA3" s="6"/>
      <c r="BB3" s="6"/>
      <c r="BC3" s="6"/>
      <c r="BD3" s="6"/>
      <c r="BE3" s="6"/>
      <c r="BF3" s="6"/>
      <c r="BG3" s="6"/>
      <c r="BH3" s="6"/>
      <c r="BI3" s="6"/>
      <c r="BJ3" s="6">
        <v>12</v>
      </c>
      <c r="BK3" s="6"/>
      <c r="BL3" s="6"/>
      <c r="BM3" s="6"/>
      <c r="BN3" s="6"/>
      <c r="BO3" s="6"/>
      <c r="BP3" s="6"/>
      <c r="BQ3" s="6"/>
      <c r="BR3" s="6"/>
      <c r="BS3" s="6"/>
      <c r="BT3" s="6"/>
      <c r="BU3" s="6"/>
      <c r="BV3" s="6"/>
      <c r="BW3" s="6"/>
      <c r="BX3" s="6">
        <v>15</v>
      </c>
      <c r="BY3" s="6"/>
      <c r="BZ3" s="6"/>
      <c r="CA3" s="6"/>
      <c r="CB3" s="6"/>
      <c r="CC3" s="6"/>
      <c r="CD3" s="6"/>
      <c r="CE3" s="6"/>
      <c r="CF3" s="6"/>
      <c r="CG3" s="6"/>
      <c r="CH3" s="6"/>
      <c r="CI3" s="6"/>
      <c r="CJ3" s="6"/>
      <c r="CK3" s="6"/>
      <c r="CL3" s="6">
        <v>18</v>
      </c>
      <c r="CM3" s="6"/>
      <c r="CN3" s="6"/>
      <c r="CO3" s="6"/>
      <c r="CP3" s="6"/>
      <c r="CQ3" s="6"/>
      <c r="CR3" s="6"/>
      <c r="CS3" s="6"/>
      <c r="CT3" s="6"/>
    </row>
    <row r="4" spans="2:98">
      <c r="B4" s="90" t="s">
        <v>89</v>
      </c>
      <c r="C4" s="90"/>
      <c r="D4" s="90"/>
      <c r="E4" s="86" t="s">
        <v>194</v>
      </c>
      <c r="F4" s="86"/>
      <c r="G4" s="86"/>
      <c r="H4" s="19"/>
      <c r="M4" s="6"/>
      <c r="N4" s="6"/>
      <c r="O4" s="6"/>
      <c r="P4" s="6">
        <v>3</v>
      </c>
      <c r="Q4" s="7" t="e">
        <f>S33</f>
        <v>#DIV/0!</v>
      </c>
      <c r="R4" s="6"/>
      <c r="S4" s="6"/>
      <c r="T4" s="6" t="s">
        <v>96</v>
      </c>
      <c r="U4" s="6">
        <v>9.9999999999999995E-7</v>
      </c>
      <c r="V4" s="6">
        <v>1.8749999999999999E-2</v>
      </c>
      <c r="W4" s="6">
        <v>2.5000000000000001E-2</v>
      </c>
      <c r="X4" s="6">
        <v>7.4999999999999997E-2</v>
      </c>
      <c r="Y4" s="6">
        <v>0.1</v>
      </c>
      <c r="Z4" s="6">
        <v>0.2</v>
      </c>
      <c r="AA4" s="6">
        <v>0.3</v>
      </c>
      <c r="AB4" s="6">
        <v>0.5</v>
      </c>
      <c r="AC4" s="6"/>
      <c r="AD4" s="6"/>
      <c r="AE4" s="6"/>
      <c r="AF4" s="6"/>
      <c r="AG4" s="6"/>
      <c r="AH4" s="6" t="s">
        <v>96</v>
      </c>
      <c r="AI4" s="6">
        <v>9.9999999999999995E-7</v>
      </c>
      <c r="AJ4" s="6">
        <v>1.8749999999999999E-2</v>
      </c>
      <c r="AK4" s="6">
        <v>2.5000000000000001E-2</v>
      </c>
      <c r="AL4" s="6">
        <v>7.4999999999999997E-2</v>
      </c>
      <c r="AM4" s="6">
        <v>0.1</v>
      </c>
      <c r="AN4" s="6">
        <v>0.2</v>
      </c>
      <c r="AO4" s="6">
        <v>0.3</v>
      </c>
      <c r="AP4" s="6">
        <v>0.5</v>
      </c>
      <c r="AQ4" s="6"/>
      <c r="AR4" s="6"/>
      <c r="AS4" s="6"/>
      <c r="AT4" s="6"/>
      <c r="AU4" s="6"/>
      <c r="AV4" s="6" t="s">
        <v>96</v>
      </c>
      <c r="AW4" s="6">
        <v>9.9999999999999995E-7</v>
      </c>
      <c r="AX4" s="6">
        <v>1.8749999999999999E-2</v>
      </c>
      <c r="AY4" s="6">
        <v>2.5000000000000001E-2</v>
      </c>
      <c r="AZ4" s="6">
        <v>7.4999999999999997E-2</v>
      </c>
      <c r="BA4" s="6">
        <v>0.1</v>
      </c>
      <c r="BB4" s="6">
        <v>0.2</v>
      </c>
      <c r="BC4" s="6">
        <v>0.3</v>
      </c>
      <c r="BD4" s="6">
        <v>0.5</v>
      </c>
      <c r="BE4" s="6"/>
      <c r="BF4" s="6"/>
      <c r="BG4" s="6"/>
      <c r="BH4" s="6"/>
      <c r="BI4" s="6"/>
      <c r="BJ4" s="6" t="s">
        <v>96</v>
      </c>
      <c r="BK4" s="6">
        <v>9.9999999999999995E-7</v>
      </c>
      <c r="BL4" s="6">
        <v>1.8749999999999999E-2</v>
      </c>
      <c r="BM4" s="6">
        <v>2.5000000000000001E-2</v>
      </c>
      <c r="BN4" s="6">
        <v>7.4999999999999997E-2</v>
      </c>
      <c r="BO4" s="6">
        <v>0.1</v>
      </c>
      <c r="BP4" s="6">
        <v>0.2</v>
      </c>
      <c r="BQ4" s="6">
        <v>0.3</v>
      </c>
      <c r="BR4" s="6">
        <v>0.5</v>
      </c>
      <c r="BS4" s="6"/>
      <c r="BT4" s="6"/>
      <c r="BU4" s="6"/>
      <c r="BV4" s="6"/>
      <c r="BW4" s="6"/>
      <c r="BX4" s="6" t="s">
        <v>96</v>
      </c>
      <c r="BY4" s="6">
        <v>9.9999999999999995E-7</v>
      </c>
      <c r="BZ4" s="6">
        <v>1.8749999999999999E-2</v>
      </c>
      <c r="CA4" s="6">
        <v>2.5000000000000001E-2</v>
      </c>
      <c r="CB4" s="6">
        <v>7.4999999999999997E-2</v>
      </c>
      <c r="CC4" s="6">
        <v>0.1</v>
      </c>
      <c r="CD4" s="6">
        <v>0.2</v>
      </c>
      <c r="CE4" s="6">
        <v>0.3</v>
      </c>
      <c r="CF4" s="6">
        <v>0.5</v>
      </c>
      <c r="CG4" s="6"/>
      <c r="CH4" s="6"/>
      <c r="CI4" s="6"/>
      <c r="CJ4" s="6"/>
      <c r="CK4" s="6"/>
      <c r="CL4" s="6" t="s">
        <v>96</v>
      </c>
      <c r="CM4" s="6">
        <v>9.9999999999999995E-7</v>
      </c>
      <c r="CN4" s="6">
        <v>1.8749999999999999E-2</v>
      </c>
      <c r="CO4" s="6">
        <v>2.5000000000000001E-2</v>
      </c>
      <c r="CP4" s="6">
        <v>7.4999999999999997E-2</v>
      </c>
      <c r="CQ4" s="6">
        <v>0.1</v>
      </c>
      <c r="CR4" s="6">
        <v>0.2</v>
      </c>
      <c r="CS4" s="6">
        <v>0.3</v>
      </c>
      <c r="CT4" s="6">
        <v>0.5</v>
      </c>
    </row>
    <row r="5" spans="2:98">
      <c r="B5" s="25">
        <v>1</v>
      </c>
      <c r="C5" s="73" t="s">
        <v>108</v>
      </c>
      <c r="D5" s="73"/>
      <c r="E5" s="73"/>
      <c r="F5" s="70"/>
      <c r="G5" s="26" t="s">
        <v>3</v>
      </c>
      <c r="H5" s="19"/>
      <c r="M5" s="6"/>
      <c r="N5" s="6"/>
      <c r="O5" s="6"/>
      <c r="P5" s="6">
        <v>6</v>
      </c>
      <c r="Q5" s="7" t="e">
        <f>T33</f>
        <v>#DIV/0!</v>
      </c>
      <c r="R5" s="6"/>
      <c r="S5" s="6"/>
      <c r="T5" s="7">
        <v>0</v>
      </c>
      <c r="U5" s="7">
        <v>0</v>
      </c>
      <c r="V5" s="7">
        <v>0</v>
      </c>
      <c r="W5" s="7">
        <v>0</v>
      </c>
      <c r="X5" s="7">
        <v>0</v>
      </c>
      <c r="Y5" s="7">
        <v>0</v>
      </c>
      <c r="Z5" s="7">
        <v>0</v>
      </c>
      <c r="AA5" s="7">
        <v>0</v>
      </c>
      <c r="AB5" s="7">
        <v>0</v>
      </c>
      <c r="AC5" s="7"/>
      <c r="AD5" s="7"/>
      <c r="AE5" s="7"/>
      <c r="AF5" s="6"/>
      <c r="AG5" s="6"/>
      <c r="AH5" s="7">
        <v>0</v>
      </c>
      <c r="AI5" s="7">
        <v>0</v>
      </c>
      <c r="AJ5" s="7">
        <v>0</v>
      </c>
      <c r="AK5" s="7">
        <v>0</v>
      </c>
      <c r="AL5" s="7">
        <v>0</v>
      </c>
      <c r="AM5" s="7">
        <v>0</v>
      </c>
      <c r="AN5" s="7">
        <v>0</v>
      </c>
      <c r="AO5" s="7">
        <v>0</v>
      </c>
      <c r="AP5" s="7">
        <v>0</v>
      </c>
      <c r="AQ5" s="7"/>
      <c r="AR5" s="7"/>
      <c r="AS5" s="7"/>
      <c r="AT5" s="6"/>
      <c r="AU5" s="6"/>
      <c r="AV5" s="7">
        <v>0</v>
      </c>
      <c r="AW5" s="7">
        <v>0</v>
      </c>
      <c r="AX5" s="7">
        <v>0</v>
      </c>
      <c r="AY5" s="7">
        <v>0</v>
      </c>
      <c r="AZ5" s="7">
        <v>0</v>
      </c>
      <c r="BA5" s="7">
        <v>0</v>
      </c>
      <c r="BB5" s="7">
        <v>0</v>
      </c>
      <c r="BC5" s="7">
        <v>0</v>
      </c>
      <c r="BD5" s="7">
        <v>0</v>
      </c>
      <c r="BE5" s="7"/>
      <c r="BF5" s="7"/>
      <c r="BG5" s="7"/>
      <c r="BH5" s="6"/>
      <c r="BI5" s="6"/>
      <c r="BJ5" s="7">
        <v>0</v>
      </c>
      <c r="BK5" s="7">
        <v>0</v>
      </c>
      <c r="BL5" s="7">
        <v>0</v>
      </c>
      <c r="BM5" s="7">
        <v>0</v>
      </c>
      <c r="BN5" s="7">
        <v>0</v>
      </c>
      <c r="BO5" s="7">
        <v>0</v>
      </c>
      <c r="BP5" s="7">
        <v>0</v>
      </c>
      <c r="BQ5" s="7">
        <v>0</v>
      </c>
      <c r="BR5" s="7">
        <v>0</v>
      </c>
      <c r="BS5" s="7"/>
      <c r="BT5" s="7"/>
      <c r="BU5" s="7"/>
      <c r="BV5" s="6"/>
      <c r="BW5" s="6"/>
      <c r="BX5" s="17">
        <v>0</v>
      </c>
      <c r="BY5" s="17">
        <v>0</v>
      </c>
      <c r="BZ5" s="17">
        <v>0</v>
      </c>
      <c r="CA5" s="17">
        <v>0</v>
      </c>
      <c r="CB5" s="17">
        <v>0</v>
      </c>
      <c r="CC5" s="17">
        <v>0</v>
      </c>
      <c r="CD5" s="17">
        <v>0</v>
      </c>
      <c r="CE5" s="17">
        <v>0</v>
      </c>
      <c r="CF5" s="17">
        <v>0</v>
      </c>
      <c r="CG5" s="6"/>
      <c r="CH5" s="6"/>
      <c r="CI5" s="6"/>
      <c r="CJ5" s="6"/>
      <c r="CK5" s="6"/>
      <c r="CL5" s="17">
        <v>0</v>
      </c>
      <c r="CM5" s="17">
        <v>0</v>
      </c>
      <c r="CN5" s="17">
        <v>0</v>
      </c>
      <c r="CO5" s="17">
        <v>0</v>
      </c>
      <c r="CP5" s="17">
        <v>0</v>
      </c>
      <c r="CQ5" s="17">
        <v>0</v>
      </c>
      <c r="CR5" s="17">
        <v>0</v>
      </c>
      <c r="CS5" s="17">
        <v>0</v>
      </c>
      <c r="CT5" s="17">
        <v>0</v>
      </c>
    </row>
    <row r="6" spans="2:98">
      <c r="B6" s="25">
        <v>2</v>
      </c>
      <c r="C6" s="73" t="s">
        <v>218</v>
      </c>
      <c r="D6" s="73"/>
      <c r="E6" s="73"/>
      <c r="F6" s="70"/>
      <c r="G6" s="40" t="s">
        <v>3</v>
      </c>
      <c r="H6" s="19"/>
      <c r="M6" s="6" t="s">
        <v>112</v>
      </c>
      <c r="N6" s="6">
        <f>F11</f>
        <v>0</v>
      </c>
      <c r="O6" s="6"/>
      <c r="P6" s="6">
        <v>9</v>
      </c>
      <c r="Q6" s="7" t="e">
        <f>U33</f>
        <v>#DIV/0!</v>
      </c>
      <c r="R6" s="6"/>
      <c r="S6" s="6"/>
      <c r="T6" s="7">
        <v>1.889739971779883E-2</v>
      </c>
      <c r="U6" s="7">
        <v>0</v>
      </c>
      <c r="V6" s="7">
        <v>1.396189681546367E-2</v>
      </c>
      <c r="W6" s="7">
        <v>1.9663468224168978E-2</v>
      </c>
      <c r="X6" s="7">
        <v>4.7754137115839201E-2</v>
      </c>
      <c r="Y6" s="7">
        <v>6.0617438464747542E-2</v>
      </c>
      <c r="Z6" s="7">
        <v>0.10080656376025576</v>
      </c>
      <c r="AA6" s="7">
        <v>0.13279098873591977</v>
      </c>
      <c r="AB6" s="7">
        <v>0.18313169239326921</v>
      </c>
      <c r="AC6" s="7"/>
      <c r="AD6" s="7"/>
      <c r="AE6" s="7"/>
      <c r="AF6" s="6"/>
      <c r="AG6" s="6"/>
      <c r="AH6" s="7">
        <v>3.7794799435597659E-2</v>
      </c>
      <c r="AI6" s="7">
        <v>0</v>
      </c>
      <c r="AJ6" s="7">
        <v>2.5017382839660596E-2</v>
      </c>
      <c r="AK6" s="7">
        <v>3.1553330552078873E-2</v>
      </c>
      <c r="AL6" s="7">
        <v>6.1799471561674202E-2</v>
      </c>
      <c r="AM6" s="7">
        <v>7.6887776387150608E-2</v>
      </c>
      <c r="AN6" s="7">
        <v>0.1211097204839382</v>
      </c>
      <c r="AO6" s="7">
        <v>0.15490196078431373</v>
      </c>
      <c r="AP6" s="7">
        <v>0.20691141704908911</v>
      </c>
      <c r="AQ6" s="7"/>
      <c r="AR6" s="7"/>
      <c r="AS6" s="7"/>
      <c r="AT6" s="6"/>
      <c r="AU6" s="6"/>
      <c r="AV6" s="7">
        <v>5.6692199153396496E-2</v>
      </c>
      <c r="AW6" s="7">
        <v>0</v>
      </c>
      <c r="AX6" s="7">
        <v>3.2874426366291121E-2</v>
      </c>
      <c r="AY6" s="7">
        <v>3.9688499513280462E-2</v>
      </c>
      <c r="AZ6" s="7">
        <v>7.1603393130301729E-2</v>
      </c>
      <c r="BA6" s="7">
        <v>8.8151856487275637E-2</v>
      </c>
      <c r="BB6" s="7">
        <v>0.13585036851620069</v>
      </c>
      <c r="BC6" s="7">
        <v>0.17124183006535942</v>
      </c>
      <c r="BD6" s="7">
        <v>0.22415519399249051</v>
      </c>
      <c r="BE6" s="7"/>
      <c r="BF6" s="7"/>
      <c r="BG6" s="7"/>
      <c r="BH6" s="6"/>
      <c r="BI6" s="6"/>
      <c r="BJ6" s="7">
        <v>7.5589598871195318E-2</v>
      </c>
      <c r="BK6" s="7">
        <v>0</v>
      </c>
      <c r="BL6" s="7">
        <v>3.9062717285495707E-2</v>
      </c>
      <c r="BM6" s="7">
        <v>4.6363509942984216E-2</v>
      </c>
      <c r="BN6" s="7">
        <v>8.0086218884716898E-2</v>
      </c>
      <c r="BO6" s="7">
        <v>9.7608121262689473E-2</v>
      </c>
      <c r="BP6" s="7">
        <v>0.14746210540953963</v>
      </c>
      <c r="BQ6" s="7">
        <v>0.18340981782784038</v>
      </c>
      <c r="BR6" s="7">
        <v>0.23653177583089968</v>
      </c>
      <c r="BS6" s="7"/>
      <c r="BT6" s="7"/>
      <c r="BU6" s="7"/>
      <c r="BV6" s="6"/>
      <c r="BW6" s="6"/>
      <c r="BX6" s="17">
        <v>9.4486998588994148E-2</v>
      </c>
      <c r="BY6" s="17">
        <v>1.4462522597690208E-3</v>
      </c>
      <c r="BZ6" s="17">
        <v>4.4694757335558277E-2</v>
      </c>
      <c r="CA6" s="17">
        <v>5.2412738144903326E-2</v>
      </c>
      <c r="CB6" s="17">
        <v>8.7456542900848144E-2</v>
      </c>
      <c r="CC6" s="17">
        <v>0.10609094701710464</v>
      </c>
      <c r="CD6" s="17">
        <v>0.15726602697816705</v>
      </c>
      <c r="CE6" s="17">
        <v>0.19383952162425244</v>
      </c>
      <c r="CF6" s="17">
        <v>0.24661382283409805</v>
      </c>
      <c r="CG6" s="6"/>
      <c r="CH6" s="6"/>
      <c r="CI6" s="6"/>
      <c r="CJ6" s="6"/>
      <c r="CK6" s="6"/>
      <c r="CL6" s="17">
        <v>0.11338439830679299</v>
      </c>
      <c r="CM6" s="17">
        <v>3.1150048671950703E-3</v>
      </c>
      <c r="CN6" s="17">
        <v>4.9492421081907878E-2</v>
      </c>
      <c r="CO6" s="17">
        <v>5.7627590043109356E-2</v>
      </c>
      <c r="CP6" s="17">
        <v>9.3853427895981056E-2</v>
      </c>
      <c r="CQ6" s="17">
        <v>0.11346127103323589</v>
      </c>
      <c r="CR6" s="17">
        <v>0.16595744680851054</v>
      </c>
      <c r="CS6" s="17">
        <v>0.20308719232373795</v>
      </c>
      <c r="CT6" s="17">
        <v>0.25572243081629809</v>
      </c>
    </row>
    <row r="7" spans="2:98" ht="25.5" customHeight="1">
      <c r="B7" s="25">
        <v>3</v>
      </c>
      <c r="C7" s="73" t="s">
        <v>195</v>
      </c>
      <c r="D7" s="73"/>
      <c r="E7" s="73"/>
      <c r="F7" s="40">
        <f>ROUND(IFERROR(F5/F6,0),2)</f>
        <v>0</v>
      </c>
      <c r="G7" s="26"/>
      <c r="H7" s="19"/>
      <c r="M7" s="6" t="s">
        <v>208</v>
      </c>
      <c r="N7" s="45" t="e">
        <f>ROUND(VLOOKUP(N6,P4:Q9,2,FALSE),3)</f>
        <v>#N/A</v>
      </c>
      <c r="O7" s="6"/>
      <c r="P7" s="6">
        <v>12</v>
      </c>
      <c r="Q7" s="7" t="e">
        <f>V33</f>
        <v>#DIV/0!</v>
      </c>
      <c r="R7" s="6"/>
      <c r="S7" s="6"/>
      <c r="T7" s="7">
        <v>4.7086891009542942E-2</v>
      </c>
      <c r="U7" s="7">
        <v>1.0469436001351307E-3</v>
      </c>
      <c r="V7" s="7">
        <v>6.1567038162782861E-2</v>
      </c>
      <c r="W7" s="7">
        <v>7.460317460317456E-2</v>
      </c>
      <c r="X7" s="7">
        <v>0.13708206686930091</v>
      </c>
      <c r="Y7" s="7">
        <v>0.16491050320837564</v>
      </c>
      <c r="Z7" s="7">
        <v>0.24596420128335028</v>
      </c>
      <c r="AA7" s="7">
        <v>0.30682201958797706</v>
      </c>
      <c r="AB7" s="7">
        <v>0.39766970618034447</v>
      </c>
      <c r="AC7" s="7"/>
      <c r="AD7" s="7"/>
      <c r="AE7" s="7"/>
      <c r="AF7" s="6"/>
      <c r="AG7" s="6"/>
      <c r="AH7" s="7">
        <v>9.4173782019085883E-2</v>
      </c>
      <c r="AI7" s="7">
        <v>1.2799729821006411E-2</v>
      </c>
      <c r="AJ7" s="7">
        <v>8.4194528875380037E-2</v>
      </c>
      <c r="AK7" s="7">
        <v>9.8446470786896279E-2</v>
      </c>
      <c r="AL7" s="7">
        <v>0.16504559270516717</v>
      </c>
      <c r="AM7" s="7">
        <v>0.19699425869638643</v>
      </c>
      <c r="AN7" s="7">
        <v>0.28554542384329618</v>
      </c>
      <c r="AO7" s="7">
        <v>0.34876730834177649</v>
      </c>
      <c r="AP7" s="7">
        <v>0.44096588990206009</v>
      </c>
      <c r="AQ7" s="7"/>
      <c r="AR7" s="7"/>
      <c r="AS7" s="7"/>
      <c r="AT7" s="6"/>
      <c r="AU7" s="6"/>
      <c r="AV7" s="7">
        <v>0.14126067302862882</v>
      </c>
      <c r="AW7" s="7">
        <v>2.0972644376899718E-2</v>
      </c>
      <c r="AX7" s="7">
        <v>0.102161431948666</v>
      </c>
      <c r="AY7" s="7">
        <v>0.11735900033772373</v>
      </c>
      <c r="AZ7" s="7">
        <v>0.18672745694022286</v>
      </c>
      <c r="BA7" s="7">
        <v>0.22124282337048295</v>
      </c>
      <c r="BB7" s="7">
        <v>0.31431948665991227</v>
      </c>
      <c r="BC7" s="7">
        <v>0.37895981087470443</v>
      </c>
      <c r="BD7" s="7">
        <v>0.46906450523471804</v>
      </c>
      <c r="BE7" s="7"/>
      <c r="BF7" s="7"/>
      <c r="BG7" s="7"/>
      <c r="BH7" s="6"/>
      <c r="BI7" s="6"/>
      <c r="BJ7" s="7">
        <v>0.18834756403817177</v>
      </c>
      <c r="BK7" s="7">
        <v>2.6781492738939483E-2</v>
      </c>
      <c r="BL7" s="7">
        <v>0.11546774738264098</v>
      </c>
      <c r="BM7" s="7">
        <v>0.13154339750084432</v>
      </c>
      <c r="BN7" s="7">
        <v>0.20334346504559275</v>
      </c>
      <c r="BO7" s="7">
        <v>0.23995271867612289</v>
      </c>
      <c r="BP7" s="7">
        <v>0.33762242485646743</v>
      </c>
      <c r="BQ7" s="7">
        <v>0.40307328605200943</v>
      </c>
      <c r="BR7" s="7">
        <v>0.49000337723741977</v>
      </c>
      <c r="BS7" s="7"/>
      <c r="BT7" s="7"/>
      <c r="BU7" s="7"/>
      <c r="BV7" s="6"/>
      <c r="BW7" s="6"/>
      <c r="BX7" s="17">
        <v>0.23543445504771471</v>
      </c>
      <c r="BY7" s="17">
        <v>3.1577169875042221E-2</v>
      </c>
      <c r="BZ7" s="17">
        <v>0.12701789935832486</v>
      </c>
      <c r="CA7" s="17">
        <v>0.14403917595406956</v>
      </c>
      <c r="CB7" s="17">
        <v>0.21766295170550487</v>
      </c>
      <c r="CC7" s="17">
        <v>0.25643363728470114</v>
      </c>
      <c r="CD7" s="17">
        <v>0.35700776764606557</v>
      </c>
      <c r="CE7" s="17">
        <v>0.42266126308679502</v>
      </c>
      <c r="CF7" s="17">
        <v>0.50655184059439384</v>
      </c>
      <c r="CG7" s="6"/>
      <c r="CH7" s="6"/>
      <c r="CI7" s="6"/>
      <c r="CJ7" s="6"/>
      <c r="CK7" s="6"/>
      <c r="CL7" s="17">
        <v>0.28252134605725765</v>
      </c>
      <c r="CM7" s="17">
        <v>3.5494765281999352E-2</v>
      </c>
      <c r="CN7" s="17">
        <v>0.13714961161769668</v>
      </c>
      <c r="CO7" s="17">
        <v>0.15477879094900371</v>
      </c>
      <c r="CP7" s="17">
        <v>0.23096926713947996</v>
      </c>
      <c r="CQ7" s="17">
        <v>0.27122593718338406</v>
      </c>
      <c r="CR7" s="17">
        <v>0.37362377575143535</v>
      </c>
      <c r="CS7" s="17">
        <v>0.43947990543735227</v>
      </c>
      <c r="CT7" s="17">
        <v>0.52046605876393115</v>
      </c>
    </row>
    <row r="8" spans="2:98">
      <c r="B8" s="25">
        <v>4</v>
      </c>
      <c r="C8" s="73" t="s">
        <v>196</v>
      </c>
      <c r="D8" s="73"/>
      <c r="E8" s="73"/>
      <c r="F8" s="40">
        <f>ROUND(IFERROR(((F5*0.9+F6*0.1)/(F5+F6)),0),2)</f>
        <v>0</v>
      </c>
      <c r="G8" s="26"/>
      <c r="H8" s="19"/>
      <c r="M8" s="6"/>
      <c r="N8" s="6"/>
      <c r="O8" s="6"/>
      <c r="P8" s="6">
        <v>15</v>
      </c>
      <c r="Q8" s="7" t="e">
        <f>W33</f>
        <v>#DIV/0!</v>
      </c>
      <c r="R8" s="6"/>
      <c r="S8" s="6"/>
      <c r="T8" s="7">
        <v>9.3656343656343663E-2</v>
      </c>
      <c r="U8" s="7">
        <v>2.1190644932671754E-2</v>
      </c>
      <c r="V8" s="7">
        <v>0.12936666451903867</v>
      </c>
      <c r="W8" s="7">
        <v>0.15249661748598664</v>
      </c>
      <c r="X8" s="7">
        <v>0.25893305843695635</v>
      </c>
      <c r="Y8" s="7">
        <v>0.30268023967527857</v>
      </c>
      <c r="Z8" s="7">
        <v>0.42406417112299466</v>
      </c>
      <c r="AA8" s="7">
        <v>0.50414921718961403</v>
      </c>
      <c r="AB8" s="7">
        <v>0.60175890728690162</v>
      </c>
      <c r="AC8" s="7"/>
      <c r="AD8" s="7"/>
      <c r="AE8" s="7"/>
      <c r="AF8" s="6"/>
      <c r="AG8" s="6"/>
      <c r="AH8" s="7">
        <v>0.18731268731268733</v>
      </c>
      <c r="AI8" s="7">
        <v>4.1421300173957842E-2</v>
      </c>
      <c r="AJ8" s="7">
        <v>0.16783068101282128</v>
      </c>
      <c r="AK8" s="7">
        <v>0.1923136395850783</v>
      </c>
      <c r="AL8" s="7">
        <v>0.30171380710005802</v>
      </c>
      <c r="AM8" s="7">
        <v>0.34984214934604729</v>
      </c>
      <c r="AN8" s="7">
        <v>0.4746408092262096</v>
      </c>
      <c r="AO8" s="7">
        <v>0.55182655756716703</v>
      </c>
      <c r="AP8" s="7">
        <v>0.6440886540815669</v>
      </c>
      <c r="AQ8" s="7"/>
      <c r="AR8" s="7"/>
      <c r="AS8" s="7"/>
      <c r="AT8" s="6"/>
      <c r="AU8" s="6"/>
      <c r="AV8" s="7">
        <v>0.28096903096903098</v>
      </c>
      <c r="AW8" s="7">
        <v>5.5209071580439417E-2</v>
      </c>
      <c r="AX8" s="7">
        <v>0.19489079311900004</v>
      </c>
      <c r="AY8" s="7">
        <v>0.22053347078152186</v>
      </c>
      <c r="AZ8" s="7">
        <v>0.33296179369885959</v>
      </c>
      <c r="BA8" s="7">
        <v>0.384247149023903</v>
      </c>
      <c r="BB8" s="7">
        <v>0.51220282198311962</v>
      </c>
      <c r="BC8" s="7">
        <v>0.58681141679015525</v>
      </c>
      <c r="BD8" s="7">
        <v>0.67237291411635847</v>
      </c>
      <c r="BE8" s="7"/>
      <c r="BF8" s="7"/>
      <c r="BG8" s="7"/>
      <c r="BH8" s="6"/>
      <c r="BI8" s="6"/>
      <c r="BJ8" s="7">
        <v>0.37462537462537465</v>
      </c>
      <c r="BK8" s="7">
        <v>6.5453256877778476E-2</v>
      </c>
      <c r="BL8" s="7">
        <v>0.2173120288641196</v>
      </c>
      <c r="BM8" s="7">
        <v>0.24430771213195024</v>
      </c>
      <c r="BN8" s="7">
        <v>0.35847561368468528</v>
      </c>
      <c r="BO8" s="7">
        <v>0.41291798208878294</v>
      </c>
      <c r="BP8" s="7">
        <v>0.54261323368339665</v>
      </c>
      <c r="BQ8" s="7">
        <v>0.61335609818954961</v>
      </c>
      <c r="BR8" s="7">
        <v>0.69402100380130149</v>
      </c>
      <c r="BS8" s="7"/>
      <c r="BT8" s="7"/>
      <c r="BU8" s="7"/>
      <c r="BV8" s="6"/>
      <c r="BW8" s="6"/>
      <c r="BX8" s="17">
        <v>0.46828171828171827</v>
      </c>
      <c r="BY8" s="17">
        <v>7.3442432832935944E-2</v>
      </c>
      <c r="BZ8" s="17">
        <v>0.23554539011661613</v>
      </c>
      <c r="CA8" s="17">
        <v>0.26382965015140769</v>
      </c>
      <c r="CB8" s="17">
        <v>0.38063913407641259</v>
      </c>
      <c r="CC8" s="17">
        <v>0.43649893692416725</v>
      </c>
      <c r="CD8" s="17">
        <v>0.56690290574060942</v>
      </c>
      <c r="CE8" s="17">
        <v>0.63526190322788478</v>
      </c>
      <c r="CF8" s="17">
        <v>0.71103021712518522</v>
      </c>
      <c r="CG8" s="6"/>
      <c r="CH8" s="6"/>
      <c r="CI8" s="6"/>
      <c r="CJ8" s="6"/>
      <c r="CK8" s="6"/>
      <c r="CL8" s="17">
        <v>0.56193806193806195</v>
      </c>
      <c r="CM8" s="17">
        <v>8.0271889697828724E-2</v>
      </c>
      <c r="CN8" s="17">
        <v>0.25152374202693129</v>
      </c>
      <c r="CO8" s="17">
        <v>0.28090329231363953</v>
      </c>
      <c r="CP8" s="17">
        <v>0.39945235487404163</v>
      </c>
      <c r="CQ8" s="17">
        <v>0.45679402100380134</v>
      </c>
      <c r="CR8" s="17">
        <v>0.58681141679015525</v>
      </c>
      <c r="CS8" s="17">
        <v>0.65368855099542555</v>
      </c>
      <c r="CT8" s="17">
        <v>0.72398041363314225</v>
      </c>
    </row>
    <row r="9" spans="2:98">
      <c r="B9" s="25">
        <v>5</v>
      </c>
      <c r="C9" s="73" t="s">
        <v>197</v>
      </c>
      <c r="D9" s="73"/>
      <c r="E9" s="73"/>
      <c r="F9" s="70"/>
      <c r="G9" s="26" t="s">
        <v>6</v>
      </c>
      <c r="H9" s="19"/>
      <c r="M9" s="6"/>
      <c r="N9" s="6"/>
      <c r="O9" s="6"/>
      <c r="P9" s="6">
        <v>18</v>
      </c>
      <c r="Q9" s="7" t="e">
        <f>W33</f>
        <v>#DIV/0!</v>
      </c>
      <c r="R9" s="6"/>
      <c r="S9" s="6"/>
      <c r="T9" s="7">
        <v>0.18527667984189725</v>
      </c>
      <c r="U9" s="7">
        <v>5.272362046555612E-2</v>
      </c>
      <c r="V9" s="7">
        <v>0.21868131868131879</v>
      </c>
      <c r="W9" s="7">
        <v>0.25407066052227356</v>
      </c>
      <c r="X9" s="7">
        <v>0.40419473000118172</v>
      </c>
      <c r="Y9" s="7">
        <v>0.46085312536925449</v>
      </c>
      <c r="Z9" s="7">
        <v>0.59644334160463197</v>
      </c>
      <c r="AA9" s="7">
        <v>0.67366182204891889</v>
      </c>
      <c r="AB9" s="7">
        <v>0.75755642207255114</v>
      </c>
      <c r="AC9" s="7"/>
      <c r="AD9" s="7"/>
      <c r="AE9" s="7"/>
      <c r="AF9" s="6"/>
      <c r="AG9" s="6"/>
      <c r="AH9" s="7">
        <v>0.37055335968379449</v>
      </c>
      <c r="AI9" s="7">
        <v>8.6281460475008953E-2</v>
      </c>
      <c r="AJ9" s="7">
        <v>0.27663948954271544</v>
      </c>
      <c r="AK9" s="7">
        <v>0.31285596124305803</v>
      </c>
      <c r="AL9" s="7">
        <v>0.4617984166371264</v>
      </c>
      <c r="AM9" s="7">
        <v>0.52117452440033096</v>
      </c>
      <c r="AN9" s="7">
        <v>0.65239276852180084</v>
      </c>
      <c r="AO9" s="7">
        <v>0.71962660994919059</v>
      </c>
      <c r="AP9" s="7">
        <v>0.79152782701169799</v>
      </c>
      <c r="AQ9" s="7"/>
      <c r="AR9" s="7"/>
      <c r="AS9" s="7"/>
      <c r="AT9" s="6"/>
      <c r="AU9" s="6"/>
      <c r="AV9" s="7">
        <v>0.55583003952569165</v>
      </c>
      <c r="AW9" s="7">
        <v>0.10902753160817691</v>
      </c>
      <c r="AX9" s="7">
        <v>0.31799598251211159</v>
      </c>
      <c r="AY9" s="7">
        <v>0.35427153491669627</v>
      </c>
      <c r="AZ9" s="7">
        <v>0.50232777974713461</v>
      </c>
      <c r="BA9" s="7">
        <v>0.56323998582063095</v>
      </c>
      <c r="BB9" s="7">
        <v>0.68866832092638552</v>
      </c>
      <c r="BC9" s="7">
        <v>0.75070306038047974</v>
      </c>
      <c r="BD9" s="7">
        <v>0.81315136476426808</v>
      </c>
      <c r="BE9" s="7"/>
      <c r="BF9" s="7"/>
      <c r="BG9" s="7"/>
      <c r="BH9" s="6"/>
      <c r="BI9" s="6"/>
      <c r="BJ9" s="7">
        <v>0.74110671936758898</v>
      </c>
      <c r="BK9" s="7">
        <v>0.12586553231714537</v>
      </c>
      <c r="BL9" s="7">
        <v>0.34978140139430469</v>
      </c>
      <c r="BM9" s="7">
        <v>0.38753397140493928</v>
      </c>
      <c r="BN9" s="7">
        <v>0.53352239158690784</v>
      </c>
      <c r="BO9" s="7">
        <v>0.59408011343495226</v>
      </c>
      <c r="BP9" s="7">
        <v>0.71779510811768876</v>
      </c>
      <c r="BQ9" s="7">
        <v>0.77356729292213167</v>
      </c>
      <c r="BR9" s="7">
        <v>0.82733073378234667</v>
      </c>
      <c r="BS9" s="7"/>
      <c r="BT9" s="7"/>
      <c r="BU9" s="7"/>
      <c r="BV9" s="6"/>
      <c r="BW9" s="6"/>
      <c r="BX9" s="17">
        <v>0.9263833992094862</v>
      </c>
      <c r="BY9" s="17">
        <v>0.13839064161644821</v>
      </c>
      <c r="BZ9" s="17">
        <v>0.37542242703533035</v>
      </c>
      <c r="CA9" s="17">
        <v>0.41376580408838476</v>
      </c>
      <c r="CB9" s="17">
        <v>0.55798180314309354</v>
      </c>
      <c r="CC9" s="17">
        <v>0.62013470400567172</v>
      </c>
      <c r="CD9" s="17">
        <v>0.74024577572964678</v>
      </c>
      <c r="CE9" s="17">
        <v>0.7905234550395841</v>
      </c>
      <c r="CF9" s="17">
        <v>0.83814250265863177</v>
      </c>
      <c r="CG9" s="6"/>
      <c r="CH9" s="6"/>
      <c r="CI9" s="6"/>
      <c r="CJ9" s="6"/>
      <c r="CK9" s="6"/>
      <c r="CL9" s="17">
        <v>1.1116600790513833</v>
      </c>
      <c r="CM9" s="17">
        <v>0.14890700697152326</v>
      </c>
      <c r="CN9" s="17">
        <v>0.39627791563275439</v>
      </c>
      <c r="CO9" s="17">
        <v>0.43497577691126083</v>
      </c>
      <c r="CP9" s="17">
        <v>0.58031430934656747</v>
      </c>
      <c r="CQ9" s="17">
        <v>0.64152191894127375</v>
      </c>
      <c r="CR9" s="17">
        <v>0.75861987474890702</v>
      </c>
      <c r="CS9" s="17">
        <v>0.80358029067706493</v>
      </c>
      <c r="CT9" s="17">
        <v>0.8467682854779629</v>
      </c>
    </row>
    <row r="10" spans="2:98">
      <c r="B10" s="25">
        <v>6</v>
      </c>
      <c r="C10" s="73" t="s">
        <v>198</v>
      </c>
      <c r="D10" s="73"/>
      <c r="E10" s="73"/>
      <c r="F10" s="40">
        <f>ROUND((F5+F6)*F8*(F9/12),0)</f>
        <v>0</v>
      </c>
      <c r="G10" s="40" t="s">
        <v>8</v>
      </c>
      <c r="H10" s="19"/>
      <c r="M10" s="6"/>
      <c r="N10" s="6"/>
      <c r="O10" s="6"/>
      <c r="P10" s="6"/>
      <c r="Q10" s="6"/>
      <c r="R10" s="6"/>
      <c r="S10" s="6"/>
      <c r="T10" s="7">
        <v>0.36266924564796904</v>
      </c>
      <c r="U10" s="7">
        <v>9.9473337722185695E-2</v>
      </c>
      <c r="V10" s="7">
        <v>0.35348660556033829</v>
      </c>
      <c r="W10" s="7">
        <v>0.40417784979996962</v>
      </c>
      <c r="X10" s="7">
        <v>0.57944497898414948</v>
      </c>
      <c r="Y10" s="7">
        <v>0.63692206411100427</v>
      </c>
      <c r="Z10" s="7">
        <v>0.75055957867017775</v>
      </c>
      <c r="AA10" s="7">
        <v>0.80590975844432067</v>
      </c>
      <c r="AB10" s="7">
        <v>0.85411961310578821</v>
      </c>
      <c r="AC10" s="7"/>
      <c r="AD10" s="7"/>
      <c r="AE10" s="7"/>
      <c r="AF10" s="6"/>
      <c r="AG10" s="6"/>
      <c r="AH10" s="7">
        <v>0.72533849129593808</v>
      </c>
      <c r="AI10" s="7">
        <v>0.15082290980908497</v>
      </c>
      <c r="AJ10" s="7">
        <v>0.42559882513799563</v>
      </c>
      <c r="AK10" s="7">
        <v>0.47299843014128728</v>
      </c>
      <c r="AL10" s="7">
        <v>0.63403554970375242</v>
      </c>
      <c r="AM10" s="7">
        <v>0.69060110396515928</v>
      </c>
      <c r="AN10" s="7">
        <v>0.7937560135716818</v>
      </c>
      <c r="AO10" s="7">
        <v>0.83381273104775411</v>
      </c>
      <c r="AP10" s="7">
        <v>0.86971691902567483</v>
      </c>
      <c r="AQ10" s="7"/>
      <c r="AR10" s="7"/>
      <c r="AS10" s="7"/>
      <c r="AT10" s="6"/>
      <c r="AU10" s="6"/>
      <c r="AV10" s="7">
        <v>1.0880077369439072</v>
      </c>
      <c r="AW10" s="7">
        <v>0.1842457082088419</v>
      </c>
      <c r="AX10" s="7">
        <v>0.47477085126854712</v>
      </c>
      <c r="AY10" s="7">
        <v>0.51816984858459514</v>
      </c>
      <c r="AZ10" s="7">
        <v>0.67206664303438501</v>
      </c>
      <c r="BA10" s="7">
        <v>0.72812579125943189</v>
      </c>
      <c r="BB10" s="7">
        <v>0.8185192687496835</v>
      </c>
      <c r="BC10" s="7">
        <v>0.85113181749126454</v>
      </c>
      <c r="BD10" s="7">
        <v>0.87994632096014591</v>
      </c>
      <c r="BE10" s="7"/>
      <c r="BF10" s="7"/>
      <c r="BG10" s="7"/>
      <c r="BH10" s="6"/>
      <c r="BI10" s="6"/>
      <c r="BJ10" s="7">
        <v>1.4506769825918762</v>
      </c>
      <c r="BK10" s="7">
        <v>0.20875576036866361</v>
      </c>
      <c r="BL10" s="7">
        <v>0.50951030536283992</v>
      </c>
      <c r="BM10" s="7">
        <v>0.55235225603889204</v>
      </c>
      <c r="BN10" s="7">
        <v>0.69991897503418243</v>
      </c>
      <c r="BO10" s="7">
        <v>0.75531979541196126</v>
      </c>
      <c r="BP10" s="7">
        <v>0.83614219881500995</v>
      </c>
      <c r="BQ10" s="7">
        <v>0.86369068719299136</v>
      </c>
      <c r="BR10" s="7">
        <v>0.88718792728009321</v>
      </c>
      <c r="BS10" s="7"/>
      <c r="BT10" s="7"/>
      <c r="BU10" s="7"/>
      <c r="BV10" s="6"/>
      <c r="BW10" s="6"/>
      <c r="BX10" s="17">
        <v>1.8133462282398454</v>
      </c>
      <c r="BY10" s="17">
        <v>0.22688509647034993</v>
      </c>
      <c r="BZ10" s="17">
        <v>0.53604598166810147</v>
      </c>
      <c r="CA10" s="17">
        <v>0.57929305717324153</v>
      </c>
      <c r="CB10" s="17">
        <v>0.72123866916493651</v>
      </c>
      <c r="CC10" s="17">
        <v>0.7743100217754596</v>
      </c>
      <c r="CD10" s="17">
        <v>0.84895427153491676</v>
      </c>
      <c r="CE10" s="17">
        <v>0.87316048007292246</v>
      </c>
      <c r="CF10" s="17">
        <v>0.89134045677824481</v>
      </c>
      <c r="CG10" s="6"/>
      <c r="CH10" s="6"/>
      <c r="CI10" s="6"/>
      <c r="CJ10" s="6"/>
      <c r="CK10" s="6"/>
      <c r="CL10" s="17">
        <v>2.1760154738878144</v>
      </c>
      <c r="CM10" s="17">
        <v>0.24187471514660452</v>
      </c>
      <c r="CN10" s="17">
        <v>0.55944194054793139</v>
      </c>
      <c r="CO10" s="17">
        <v>0.60213196941307545</v>
      </c>
      <c r="CP10" s="17">
        <v>0.74058337975388666</v>
      </c>
      <c r="CQ10" s="17">
        <v>0.78995796829898213</v>
      </c>
      <c r="CR10" s="17">
        <v>0.8590823922621158</v>
      </c>
      <c r="CS10" s="17">
        <v>0.87989568035650989</v>
      </c>
      <c r="CT10" s="17">
        <v>0.89291031549096067</v>
      </c>
    </row>
    <row r="11" spans="2:98">
      <c r="B11" s="25">
        <v>7</v>
      </c>
      <c r="C11" s="73" t="s">
        <v>109</v>
      </c>
      <c r="D11" s="73"/>
      <c r="E11" s="73"/>
      <c r="F11" s="70"/>
      <c r="G11" s="40" t="s">
        <v>6</v>
      </c>
      <c r="H11" s="19"/>
      <c r="J11" s="19"/>
      <c r="M11" s="6"/>
      <c r="N11" s="6"/>
      <c r="O11" s="6"/>
      <c r="P11" s="6"/>
      <c r="Q11" s="6"/>
      <c r="R11" s="6"/>
      <c r="S11" s="6"/>
      <c r="T11" s="7">
        <v>0.85227272727272729</v>
      </c>
      <c r="U11" s="7">
        <v>0.17749025168380006</v>
      </c>
      <c r="V11" s="7">
        <v>0.5008507621410847</v>
      </c>
      <c r="W11" s="7">
        <v>0.55795817086139676</v>
      </c>
      <c r="X11" s="7">
        <v>0.73275434243176185</v>
      </c>
      <c r="Y11" s="7">
        <v>0.77866004962779156</v>
      </c>
      <c r="Z11" s="7">
        <v>0.85288904643743357</v>
      </c>
      <c r="AA11" s="7">
        <v>0.87933356965615028</v>
      </c>
      <c r="AB11" s="7">
        <v>0.89719957461892952</v>
      </c>
      <c r="AC11" s="7"/>
      <c r="AD11" s="7"/>
      <c r="AE11" s="7"/>
      <c r="AF11" s="6"/>
      <c r="AG11" s="6"/>
      <c r="AH11" s="7">
        <v>1.7045454545454546</v>
      </c>
      <c r="AI11" s="7">
        <v>0.25189649060616803</v>
      </c>
      <c r="AJ11" s="7">
        <v>0.58146047500886211</v>
      </c>
      <c r="AK11" s="7">
        <v>0.63137185395249906</v>
      </c>
      <c r="AL11" s="7">
        <v>0.77975895072669266</v>
      </c>
      <c r="AM11" s="7">
        <v>0.81690889755405882</v>
      </c>
      <c r="AN11" s="7">
        <v>0.87316554413328606</v>
      </c>
      <c r="AO11" s="7">
        <v>0.89078341013824891</v>
      </c>
      <c r="AP11" s="7">
        <v>0.89907834101382489</v>
      </c>
      <c r="AQ11" s="7"/>
      <c r="AR11" s="7"/>
      <c r="AS11" s="7"/>
      <c r="AT11" s="6"/>
      <c r="AU11" s="6"/>
      <c r="AV11" s="7">
        <v>2.5568181818181817</v>
      </c>
      <c r="AW11" s="7">
        <v>0.30067352002835879</v>
      </c>
      <c r="AX11" s="7">
        <v>0.63403048564338893</v>
      </c>
      <c r="AY11" s="7">
        <v>0.67681673165544132</v>
      </c>
      <c r="AZ11" s="7">
        <v>0.80712513293158461</v>
      </c>
      <c r="BA11" s="7">
        <v>0.84122651542006388</v>
      </c>
      <c r="BB11" s="7">
        <v>0.88447359092520383</v>
      </c>
      <c r="BC11" s="7">
        <v>0.89447004608294933</v>
      </c>
      <c r="BD11" s="7">
        <v>0.89996455157745481</v>
      </c>
      <c r="BE11" s="7"/>
      <c r="BF11" s="7"/>
      <c r="BG11" s="7"/>
      <c r="BH11" s="6"/>
      <c r="BI11" s="6"/>
      <c r="BJ11" s="7">
        <v>3.4090909090909092</v>
      </c>
      <c r="BK11" s="7">
        <v>0.33420772775611485</v>
      </c>
      <c r="BL11" s="7">
        <v>0.66866359447004609</v>
      </c>
      <c r="BM11" s="7">
        <v>0.70889755405884447</v>
      </c>
      <c r="BN11" s="7">
        <v>0.82492024104927331</v>
      </c>
      <c r="BO11" s="7">
        <v>0.85632754342431761</v>
      </c>
      <c r="BP11" s="7">
        <v>0.8907479617157037</v>
      </c>
      <c r="BQ11" s="7">
        <v>0.8963133640552996</v>
      </c>
      <c r="BR11" s="7">
        <v>0.9</v>
      </c>
      <c r="BS11" s="7"/>
      <c r="BT11" s="7"/>
      <c r="BU11" s="7"/>
      <c r="BV11" s="6"/>
      <c r="BW11" s="6"/>
      <c r="BX11" s="17">
        <v>4.2613636363636358</v>
      </c>
      <c r="BY11" s="17">
        <v>0.35742644452321881</v>
      </c>
      <c r="BZ11" s="17">
        <v>0.69539170506912451</v>
      </c>
      <c r="CA11" s="17">
        <v>0.7334633108826657</v>
      </c>
      <c r="CB11" s="17">
        <v>0.83970223325062032</v>
      </c>
      <c r="CC11" s="17">
        <v>0.86607585962424671</v>
      </c>
      <c r="CD11" s="17">
        <v>0.8938319744771358</v>
      </c>
      <c r="CE11" s="17">
        <v>0.8977313009571074</v>
      </c>
      <c r="CF11" s="17">
        <v>0.9</v>
      </c>
      <c r="CG11" s="6"/>
      <c r="CH11" s="6"/>
      <c r="CI11" s="6"/>
      <c r="CJ11" s="6"/>
      <c r="CK11" s="6"/>
      <c r="CL11" s="17">
        <v>5.1136363636363633</v>
      </c>
      <c r="CM11" s="17">
        <v>0.37699397376816735</v>
      </c>
      <c r="CN11" s="17">
        <v>0.71779510811768876</v>
      </c>
      <c r="CO11" s="17">
        <v>0.75473236440978386</v>
      </c>
      <c r="CP11" s="17">
        <v>0.85143566111308044</v>
      </c>
      <c r="CQ11" s="17">
        <v>0.87309464728819575</v>
      </c>
      <c r="CR11" s="17">
        <v>0.89592343140730235</v>
      </c>
      <c r="CS11" s="17">
        <v>0.89907834101382489</v>
      </c>
      <c r="CT11" s="17">
        <v>0.9</v>
      </c>
    </row>
    <row r="12" spans="2:98">
      <c r="B12" s="25">
        <v>8</v>
      </c>
      <c r="C12" s="73" t="s">
        <v>199</v>
      </c>
      <c r="D12" s="73"/>
      <c r="E12" s="73"/>
      <c r="F12" s="26">
        <v>0.25</v>
      </c>
      <c r="G12" s="26" t="s">
        <v>206</v>
      </c>
      <c r="H12" s="19"/>
      <c r="M12" s="6"/>
      <c r="N12" s="6"/>
      <c r="O12" s="6"/>
      <c r="P12" s="6"/>
      <c r="Q12" s="6"/>
      <c r="R12" s="6"/>
      <c r="S12" s="6"/>
      <c r="T12" s="7">
        <v>1.549586776859504</v>
      </c>
      <c r="U12" s="7">
        <v>0.23590925203828428</v>
      </c>
      <c r="V12" s="7">
        <v>0.58696679664421603</v>
      </c>
      <c r="W12" s="7">
        <v>0.64356611130804686</v>
      </c>
      <c r="X12" s="7">
        <v>0.80568356374807992</v>
      </c>
      <c r="Y12" s="7">
        <v>0.83801252510929936</v>
      </c>
      <c r="Z12" s="7">
        <v>0.88608058608058615</v>
      </c>
      <c r="AA12" s="7">
        <v>0.8966914805624483</v>
      </c>
      <c r="AB12" s="7">
        <v>0.9</v>
      </c>
      <c r="AC12" s="7"/>
      <c r="AD12" s="7"/>
      <c r="AE12" s="7"/>
      <c r="AF12" s="6"/>
      <c r="AG12" s="6"/>
      <c r="AH12" s="7">
        <v>3.0991735537190079</v>
      </c>
      <c r="AI12" s="7">
        <v>0.32185986056953797</v>
      </c>
      <c r="AJ12" s="7">
        <v>0.66736381897672226</v>
      </c>
      <c r="AK12" s="7">
        <v>0.7122415219189413</v>
      </c>
      <c r="AL12" s="7">
        <v>0.83503485761550278</v>
      </c>
      <c r="AM12" s="7">
        <v>0.8614793808342196</v>
      </c>
      <c r="AN12" s="7">
        <v>0.8933593288431998</v>
      </c>
      <c r="AO12" s="7">
        <v>0.89874748907006974</v>
      </c>
      <c r="AP12" s="7">
        <v>0.9</v>
      </c>
      <c r="AQ12" s="7"/>
      <c r="AR12" s="7"/>
      <c r="AS12" s="7"/>
      <c r="AT12" s="6"/>
      <c r="AU12" s="6"/>
      <c r="AV12" s="7">
        <v>4.6487603305785123</v>
      </c>
      <c r="AW12" s="7">
        <v>0.37673401866950251</v>
      </c>
      <c r="AX12" s="7">
        <v>0.71382488479262673</v>
      </c>
      <c r="AY12" s="7">
        <v>0.7538343377053055</v>
      </c>
      <c r="AZ12" s="7">
        <v>0.85344440505730834</v>
      </c>
      <c r="BA12" s="7">
        <v>0.87643861514829258</v>
      </c>
      <c r="BB12" s="7">
        <v>0.89645515774548035</v>
      </c>
      <c r="BC12" s="7">
        <v>0.89969278033794164</v>
      </c>
      <c r="BD12" s="7">
        <v>0.9</v>
      </c>
      <c r="BE12" s="7"/>
      <c r="BF12" s="7"/>
      <c r="BG12" s="7"/>
      <c r="BH12" s="6"/>
      <c r="BI12" s="6"/>
      <c r="BJ12" s="7">
        <v>6.1983471074380159</v>
      </c>
      <c r="BK12" s="7">
        <v>0.4131986293276616</v>
      </c>
      <c r="BL12" s="7">
        <v>0.74669738863287249</v>
      </c>
      <c r="BM12" s="7">
        <v>0.78143684272716529</v>
      </c>
      <c r="BN12" s="7">
        <v>0.86549686872267517</v>
      </c>
      <c r="BO12" s="7">
        <v>0.88393004844617751</v>
      </c>
      <c r="BP12" s="7">
        <v>0.89860569537988899</v>
      </c>
      <c r="BQ12" s="7">
        <v>0.9</v>
      </c>
      <c r="BR12" s="7">
        <v>0.9</v>
      </c>
      <c r="BS12" s="7"/>
      <c r="BT12" s="7"/>
      <c r="BU12" s="7"/>
      <c r="BV12" s="6"/>
      <c r="BW12" s="6"/>
      <c r="BX12" s="17">
        <v>7.7479338842975203</v>
      </c>
      <c r="BY12" s="17">
        <v>0.43978494623655912</v>
      </c>
      <c r="BZ12" s="17">
        <v>0.77380361573909962</v>
      </c>
      <c r="CA12" s="17">
        <v>0.80336760014179376</v>
      </c>
      <c r="CB12" s="17">
        <v>0.87476072314781994</v>
      </c>
      <c r="CC12" s="17">
        <v>0.88922367954626025</v>
      </c>
      <c r="CD12" s="17">
        <v>0.89969278033794164</v>
      </c>
      <c r="CE12" s="17">
        <v>0.9</v>
      </c>
      <c r="CF12" s="17">
        <v>0.9</v>
      </c>
      <c r="CG12" s="6"/>
      <c r="CH12" s="6"/>
      <c r="CI12" s="6"/>
      <c r="CJ12" s="6"/>
      <c r="CK12" s="6"/>
      <c r="CL12" s="17">
        <v>9.2975206611570247</v>
      </c>
      <c r="CM12" s="17">
        <v>0.46100673520028357</v>
      </c>
      <c r="CN12" s="17">
        <v>0.79460002363228166</v>
      </c>
      <c r="CO12" s="17">
        <v>0.82066643034384967</v>
      </c>
      <c r="CP12" s="17">
        <v>0.88185040765685929</v>
      </c>
      <c r="CQ12" s="17">
        <v>0.89227224388514714</v>
      </c>
      <c r="CR12" s="17">
        <v>0.9</v>
      </c>
      <c r="CS12" s="17">
        <v>0.9</v>
      </c>
      <c r="CT12" s="17">
        <v>0.9</v>
      </c>
    </row>
    <row r="13" spans="2:98">
      <c r="B13" s="39">
        <v>9</v>
      </c>
      <c r="C13" s="73" t="s">
        <v>200</v>
      </c>
      <c r="D13" s="73"/>
      <c r="E13" s="73"/>
      <c r="F13" s="40">
        <f>ROUND(F6*(F11/12)*F12,0)</f>
        <v>0</v>
      </c>
      <c r="G13" s="40" t="s">
        <v>8</v>
      </c>
      <c r="H13" s="19"/>
      <c r="M13" s="6"/>
      <c r="N13" s="6"/>
      <c r="O13" s="6"/>
      <c r="P13" s="6"/>
      <c r="Q13" s="6"/>
      <c r="R13" s="6"/>
      <c r="S13" s="6"/>
      <c r="T13" s="7">
        <v>2.6223776223776221</v>
      </c>
      <c r="U13" s="7">
        <v>0.2848106201591607</v>
      </c>
      <c r="V13" s="7">
        <v>0.67000053171691398</v>
      </c>
      <c r="W13" s="7">
        <v>0.72172595310256815</v>
      </c>
      <c r="X13" s="7">
        <v>0.85031637156377948</v>
      </c>
      <c r="Y13" s="7">
        <v>0.87355594548129245</v>
      </c>
      <c r="Z13" s="7">
        <v>0.89655447439783065</v>
      </c>
      <c r="AA13" s="7">
        <v>0.89985820882295597</v>
      </c>
      <c r="AB13" s="7">
        <v>0.9</v>
      </c>
      <c r="AC13" s="7"/>
      <c r="AD13" s="7"/>
      <c r="AE13" s="7"/>
      <c r="AF13" s="6"/>
      <c r="AG13" s="6"/>
      <c r="AH13" s="7">
        <v>5.2447552447552441</v>
      </c>
      <c r="AI13" s="7">
        <v>0.37551443611421287</v>
      </c>
      <c r="AJ13" s="7">
        <v>0.73346626256181213</v>
      </c>
      <c r="AK13" s="7">
        <v>0.7749260027294802</v>
      </c>
      <c r="AL13" s="7">
        <v>0.86945818046472056</v>
      </c>
      <c r="AM13" s="7">
        <v>0.88688431612342922</v>
      </c>
      <c r="AN13" s="7">
        <v>0.89853955087644677</v>
      </c>
      <c r="AO13" s="7">
        <v>0.9</v>
      </c>
      <c r="AP13" s="7">
        <v>0.9</v>
      </c>
      <c r="AQ13" s="7"/>
      <c r="AR13" s="7"/>
      <c r="AS13" s="7"/>
      <c r="AT13" s="6"/>
      <c r="AU13" s="6"/>
      <c r="AV13" s="7">
        <v>7.8671328671328666</v>
      </c>
      <c r="AW13" s="7">
        <v>0.43125254781021261</v>
      </c>
      <c r="AX13" s="7">
        <v>0.77374913596001493</v>
      </c>
      <c r="AY13" s="7">
        <v>0.80426259725988558</v>
      </c>
      <c r="AZ13" s="7">
        <v>0.87911415962141759</v>
      </c>
      <c r="BA13" s="7">
        <v>0.89245670938125876</v>
      </c>
      <c r="BB13" s="7">
        <v>0.89937611882100643</v>
      </c>
      <c r="BC13" s="7">
        <v>0.9</v>
      </c>
      <c r="BD13" s="7">
        <v>0.9</v>
      </c>
      <c r="BE13" s="7"/>
      <c r="BF13" s="7"/>
      <c r="BG13" s="7"/>
      <c r="BH13" s="6"/>
      <c r="BI13" s="6"/>
      <c r="BJ13" s="7">
        <v>10.489510489510488</v>
      </c>
      <c r="BK13" s="7">
        <v>0.47034437532124568</v>
      </c>
      <c r="BL13" s="7">
        <v>0.80107229577639538</v>
      </c>
      <c r="BM13" s="7">
        <v>0.82666560323283889</v>
      </c>
      <c r="BN13" s="7">
        <v>0.88621789759132241</v>
      </c>
      <c r="BO13" s="7">
        <v>0.89604402616047218</v>
      </c>
      <c r="BP13" s="7">
        <v>0.899929104411478</v>
      </c>
      <c r="BQ13" s="7">
        <v>0.9</v>
      </c>
      <c r="BR13" s="7">
        <v>0.9</v>
      </c>
      <c r="BS13" s="7"/>
      <c r="BT13" s="7"/>
      <c r="BU13" s="7"/>
      <c r="BV13" s="6"/>
      <c r="BW13" s="6"/>
      <c r="BX13" s="17">
        <v>13.111888111888112</v>
      </c>
      <c r="BY13" s="17">
        <v>0.49719962425338088</v>
      </c>
      <c r="BZ13" s="17">
        <v>0.82137679232909733</v>
      </c>
      <c r="CA13" s="17">
        <v>0.84216337888374904</v>
      </c>
      <c r="CB13" s="17">
        <v>0.89085446908066146</v>
      </c>
      <c r="CC13" s="17">
        <v>0.89778805763811353</v>
      </c>
      <c r="CD13" s="17">
        <v>0.9</v>
      </c>
      <c r="CE13" s="17">
        <v>0.9</v>
      </c>
      <c r="CF13" s="17">
        <v>0.9</v>
      </c>
      <c r="CG13" s="6"/>
      <c r="CH13" s="6"/>
      <c r="CI13" s="6"/>
      <c r="CJ13" s="6"/>
      <c r="CK13" s="6"/>
      <c r="CL13" s="17">
        <v>15.734265734265733</v>
      </c>
      <c r="CM13" s="17">
        <v>0.52015561581680581</v>
      </c>
      <c r="CN13" s="17">
        <v>0.8350312826784354</v>
      </c>
      <c r="CO13" s="17">
        <v>0.85142234274472273</v>
      </c>
      <c r="CP13" s="17">
        <v>0.89361939703301962</v>
      </c>
      <c r="CQ13" s="17">
        <v>0.89900746176069202</v>
      </c>
      <c r="CR13" s="17">
        <v>0.9</v>
      </c>
      <c r="CS13" s="17">
        <v>0.9</v>
      </c>
      <c r="CT13" s="17">
        <v>0.9</v>
      </c>
    </row>
    <row r="14" spans="2:98">
      <c r="B14" s="39">
        <v>10</v>
      </c>
      <c r="C14" s="73" t="s">
        <v>201</v>
      </c>
      <c r="D14" s="73"/>
      <c r="E14" s="73"/>
      <c r="F14" s="40" t="e">
        <f>ROUND(F13/F10,2)</f>
        <v>#DIV/0!</v>
      </c>
      <c r="G14" s="40"/>
      <c r="H14" s="19"/>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row>
    <row r="15" spans="2:98" ht="105" customHeight="1">
      <c r="B15" s="39">
        <v>11</v>
      </c>
      <c r="C15" s="73" t="s">
        <v>205</v>
      </c>
      <c r="D15" s="73"/>
      <c r="E15" s="73"/>
      <c r="F15" s="70"/>
      <c r="G15" s="40" t="s">
        <v>15</v>
      </c>
      <c r="H15" s="19"/>
      <c r="M15" s="133"/>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5"/>
    </row>
    <row r="16" spans="2:98" ht="15" customHeight="1">
      <c r="B16" s="39">
        <v>12</v>
      </c>
      <c r="C16" s="73" t="s">
        <v>110</v>
      </c>
      <c r="D16" s="73"/>
      <c r="E16" s="73"/>
      <c r="F16" s="40">
        <v>2</v>
      </c>
      <c r="G16" s="40"/>
      <c r="H16" s="19"/>
      <c r="M16" s="6"/>
      <c r="N16" s="6"/>
      <c r="O16" s="6"/>
      <c r="P16" s="6"/>
      <c r="Q16" s="6"/>
      <c r="R16" s="6"/>
      <c r="S16" s="6"/>
      <c r="T16" s="6"/>
      <c r="U16" s="6">
        <v>9.9999999999999995E-7</v>
      </c>
      <c r="V16" s="6">
        <v>1.8749999999999999E-2</v>
      </c>
      <c r="W16" s="6">
        <v>2.5000000000000001E-2</v>
      </c>
      <c r="X16" s="6">
        <v>7.4999999999999997E-2</v>
      </c>
      <c r="Y16" s="6">
        <v>0.1</v>
      </c>
      <c r="Z16" s="6">
        <v>0.2</v>
      </c>
      <c r="AA16" s="6">
        <v>0.3</v>
      </c>
      <c r="AB16" s="6">
        <v>0.5</v>
      </c>
      <c r="AC16" s="6"/>
      <c r="AD16" s="6"/>
      <c r="AE16" s="6"/>
      <c r="AF16" s="6"/>
      <c r="AG16" s="6"/>
      <c r="AH16" s="6"/>
      <c r="AI16" s="6">
        <v>9.9999999999999995E-7</v>
      </c>
      <c r="AJ16" s="6">
        <v>1.8749999999999999E-2</v>
      </c>
      <c r="AK16" s="6">
        <v>2.5000000000000001E-2</v>
      </c>
      <c r="AL16" s="6">
        <v>7.4999999999999997E-2</v>
      </c>
      <c r="AM16" s="6">
        <v>0.1</v>
      </c>
      <c r="AN16" s="6">
        <v>0.2</v>
      </c>
      <c r="AO16" s="6">
        <v>0.3</v>
      </c>
      <c r="AP16" s="6">
        <v>0.5</v>
      </c>
      <c r="AQ16" s="6"/>
      <c r="AR16" s="6"/>
      <c r="AS16" s="6"/>
      <c r="AT16" s="6"/>
      <c r="AU16" s="6"/>
      <c r="AV16" s="6"/>
      <c r="AW16" s="6">
        <v>9.9999999999999995E-7</v>
      </c>
      <c r="AX16" s="6">
        <v>1.8749999999999999E-2</v>
      </c>
      <c r="AY16" s="6">
        <v>2.5000000000000001E-2</v>
      </c>
      <c r="AZ16" s="6">
        <v>7.4999999999999997E-2</v>
      </c>
      <c r="BA16" s="6">
        <v>0.1</v>
      </c>
      <c r="BB16" s="6">
        <v>0.2</v>
      </c>
      <c r="BC16" s="6">
        <v>0.3</v>
      </c>
      <c r="BD16" s="6">
        <v>0.5</v>
      </c>
      <c r="BE16" s="6"/>
      <c r="BF16" s="6"/>
      <c r="BG16" s="6"/>
      <c r="BH16" s="6"/>
      <c r="BI16" s="6"/>
      <c r="BJ16" s="6"/>
      <c r="BK16" s="6">
        <v>9.9999999999999995E-7</v>
      </c>
      <c r="BL16" s="6">
        <v>1.8749999999999999E-2</v>
      </c>
      <c r="BM16" s="6">
        <v>2.5000000000000001E-2</v>
      </c>
      <c r="BN16" s="6">
        <v>7.4999999999999997E-2</v>
      </c>
      <c r="BO16" s="6">
        <v>0.1</v>
      </c>
      <c r="BP16" s="6">
        <v>0.2</v>
      </c>
      <c r="BQ16" s="6">
        <v>0.3</v>
      </c>
      <c r="BR16" s="6">
        <v>0.5</v>
      </c>
      <c r="BS16" s="6"/>
      <c r="BT16" s="6"/>
      <c r="BU16" s="6"/>
      <c r="BV16" s="6"/>
      <c r="BW16" s="6"/>
      <c r="BX16" s="6"/>
      <c r="BY16" s="6">
        <v>9.9999999999999995E-7</v>
      </c>
      <c r="BZ16" s="6">
        <v>1.8749999999999999E-2</v>
      </c>
      <c r="CA16" s="6">
        <v>2.5000000000000001E-2</v>
      </c>
      <c r="CB16" s="6">
        <v>7.4999999999999997E-2</v>
      </c>
      <c r="CC16" s="6">
        <v>0.1</v>
      </c>
      <c r="CD16" s="6">
        <v>0.2</v>
      </c>
      <c r="CE16" s="6">
        <v>0.3</v>
      </c>
      <c r="CF16" s="6">
        <v>0.5</v>
      </c>
      <c r="CG16" s="6"/>
      <c r="CH16" s="6"/>
      <c r="CI16" s="6"/>
      <c r="CJ16" s="6"/>
      <c r="CK16" s="6"/>
      <c r="CL16" s="6"/>
      <c r="CM16" s="6">
        <v>9.9999999999999995E-7</v>
      </c>
      <c r="CN16" s="6">
        <v>1.8749999999999999E-2</v>
      </c>
      <c r="CO16" s="6">
        <v>2.5000000000000001E-2</v>
      </c>
      <c r="CP16" s="6">
        <v>7.4999999999999997E-2</v>
      </c>
      <c r="CQ16" s="6">
        <v>0.1</v>
      </c>
      <c r="CR16" s="6">
        <v>0.2</v>
      </c>
      <c r="CS16" s="6">
        <v>0.3</v>
      </c>
      <c r="CT16" s="6">
        <v>0.5</v>
      </c>
    </row>
    <row r="17" spans="2:98">
      <c r="B17" s="39">
        <v>13</v>
      </c>
      <c r="C17" s="73" t="s">
        <v>204</v>
      </c>
      <c r="D17" s="73"/>
      <c r="E17" s="73"/>
      <c r="F17" s="40">
        <f>F15/F16</f>
        <v>0</v>
      </c>
      <c r="G17" s="40" t="s">
        <v>15</v>
      </c>
      <c r="H17" s="19"/>
      <c r="M17" s="6" t="s">
        <v>207</v>
      </c>
      <c r="N17" s="6" t="e">
        <f>IF(F14&gt;T13,T13,F14)</f>
        <v>#DIV/0!</v>
      </c>
      <c r="O17" s="6"/>
      <c r="P17" s="6"/>
      <c r="Q17" s="6"/>
      <c r="R17" s="6"/>
      <c r="S17" s="6"/>
      <c r="T17" s="6"/>
      <c r="U17" s="7" t="e">
        <f>IF($N$17=$T$13,U13,INDEX(U5:U13,$N$18)+ ($N$17-$N$19)*((INDEX(U5:U13,$N$18+1)-INDEX(U5:U13,$N$18))/($N$20-$N$19)))</f>
        <v>#DIV/0!</v>
      </c>
      <c r="V17" s="7" t="e">
        <f t="shared" ref="V17:AB17" si="0">IF($N$17=$T$13,V13,INDEX(V5:V13,$N$18)+ ($N$17-$N$19)*((INDEX(V5:V13,$N$18+1)-INDEX(V5:V13,$N$18))/($N$20-$N$19)))</f>
        <v>#DIV/0!</v>
      </c>
      <c r="W17" s="7" t="e">
        <f t="shared" si="0"/>
        <v>#DIV/0!</v>
      </c>
      <c r="X17" s="7" t="e">
        <f t="shared" si="0"/>
        <v>#DIV/0!</v>
      </c>
      <c r="Y17" s="7" t="e">
        <f t="shared" si="0"/>
        <v>#DIV/0!</v>
      </c>
      <c r="Z17" s="7" t="e">
        <f t="shared" si="0"/>
        <v>#DIV/0!</v>
      </c>
      <c r="AA17" s="7" t="e">
        <f t="shared" si="0"/>
        <v>#DIV/0!</v>
      </c>
      <c r="AB17" s="7" t="e">
        <f t="shared" si="0"/>
        <v>#DIV/0!</v>
      </c>
      <c r="AC17" s="6"/>
      <c r="AD17" s="6" t="s">
        <v>207</v>
      </c>
      <c r="AE17" s="6" t="e">
        <f>IF($F$14&gt;AH13,AH13,$F$14)</f>
        <v>#DIV/0!</v>
      </c>
      <c r="AF17" s="6"/>
      <c r="AG17" s="6"/>
      <c r="AH17" s="6"/>
      <c r="AI17" s="7" t="e">
        <f>IF($AE$17=$AH$13,AI13,INDEX(AI5:AI13,$AE$18)+ ($AE$17-$AE$19)*((INDEX(AI5:AI13,$AE$18+1)-INDEX(AI5:AI13,$AE$18))/($AE$20-$AE$19)))</f>
        <v>#DIV/0!</v>
      </c>
      <c r="AJ17" s="7" t="e">
        <f t="shared" ref="AJ17:AP17" si="1">IF($AE$17=$AH$13,AJ13,INDEX(AJ5:AJ13,$AE$18)+ ($AE$17-$AE$19)*((INDEX(AJ5:AJ13,$AE$18+1)-INDEX(AJ5:AJ13,$AE$18))/($AE$20-$AE$19)))</f>
        <v>#DIV/0!</v>
      </c>
      <c r="AK17" s="7" t="e">
        <f t="shared" si="1"/>
        <v>#DIV/0!</v>
      </c>
      <c r="AL17" s="7" t="e">
        <f t="shared" si="1"/>
        <v>#DIV/0!</v>
      </c>
      <c r="AM17" s="7" t="e">
        <f t="shared" si="1"/>
        <v>#DIV/0!</v>
      </c>
      <c r="AN17" s="7" t="e">
        <f t="shared" si="1"/>
        <v>#DIV/0!</v>
      </c>
      <c r="AO17" s="7" t="e">
        <f t="shared" si="1"/>
        <v>#DIV/0!</v>
      </c>
      <c r="AP17" s="7" t="e">
        <f t="shared" si="1"/>
        <v>#DIV/0!</v>
      </c>
      <c r="AQ17" s="6"/>
      <c r="AR17" s="6" t="s">
        <v>207</v>
      </c>
      <c r="AS17" s="6" t="e">
        <f>IF($F$14&gt;AV13,AV13,$F$14)</f>
        <v>#DIV/0!</v>
      </c>
      <c r="AT17" s="6"/>
      <c r="AU17" s="6"/>
      <c r="AV17" s="6"/>
      <c r="AW17" s="7" t="e">
        <f>IF($AS$17=$AV$13,AW13,INDEX(AW5:AW13,$AS$18)+ ($AS$17-$AS$19)*((INDEX(AW5:AW13,$AS$18+1)-INDEX(AW5:AW13,$AS$18))/($AS$20-$AS$19)))</f>
        <v>#DIV/0!</v>
      </c>
      <c r="AX17" s="7" t="e">
        <f t="shared" ref="AX17:BD17" si="2">IF($AS$17=$AV$13,AX13,INDEX(AX5:AX13,$AS$18)+ ($AS$17-$AS$19)*((INDEX(AX5:AX13,$AS$18+1)-INDEX(AX5:AX13,$AS$18))/($AS$20-$AS$19)))</f>
        <v>#DIV/0!</v>
      </c>
      <c r="AY17" s="7" t="e">
        <f t="shared" si="2"/>
        <v>#DIV/0!</v>
      </c>
      <c r="AZ17" s="7" t="e">
        <f t="shared" si="2"/>
        <v>#DIV/0!</v>
      </c>
      <c r="BA17" s="7" t="e">
        <f t="shared" si="2"/>
        <v>#DIV/0!</v>
      </c>
      <c r="BB17" s="7" t="e">
        <f t="shared" si="2"/>
        <v>#DIV/0!</v>
      </c>
      <c r="BC17" s="7" t="e">
        <f t="shared" si="2"/>
        <v>#DIV/0!</v>
      </c>
      <c r="BD17" s="7" t="e">
        <f t="shared" si="2"/>
        <v>#DIV/0!</v>
      </c>
      <c r="BE17" s="6"/>
      <c r="BF17" s="6" t="s">
        <v>207</v>
      </c>
      <c r="BG17" s="6" t="e">
        <f>IF($F$14&gt;BJ13,BJ13,$F$14)</f>
        <v>#DIV/0!</v>
      </c>
      <c r="BH17" s="6"/>
      <c r="BI17" s="6"/>
      <c r="BJ17" s="6"/>
      <c r="BK17" s="7" t="e">
        <f>IF($BG$17=$BJ$13,BK13,INDEX(BK5:BK13,$BG$18)+ ($BG$17-$BG$19)*((INDEX(BK5:BK13,$BG$18+1)-INDEX(BK5:BK13,$BG$18))/($BG$20-$BG$19)))</f>
        <v>#DIV/0!</v>
      </c>
      <c r="BL17" s="7" t="e">
        <f t="shared" ref="BL17:BR17" si="3">IF($BG$17=$BJ$13,BL13,INDEX(BL5:BL13,$BG$18)+ ($BG$17-$BG$19)*((INDEX(BL5:BL13,$BG$18+1)-INDEX(BL5:BL13,$BG$18))/($BG$20-$BG$19)))</f>
        <v>#DIV/0!</v>
      </c>
      <c r="BM17" s="7" t="e">
        <f t="shared" si="3"/>
        <v>#DIV/0!</v>
      </c>
      <c r="BN17" s="7" t="e">
        <f t="shared" si="3"/>
        <v>#DIV/0!</v>
      </c>
      <c r="BO17" s="7" t="e">
        <f t="shared" si="3"/>
        <v>#DIV/0!</v>
      </c>
      <c r="BP17" s="7" t="e">
        <f t="shared" si="3"/>
        <v>#DIV/0!</v>
      </c>
      <c r="BQ17" s="7" t="e">
        <f t="shared" si="3"/>
        <v>#DIV/0!</v>
      </c>
      <c r="BR17" s="7" t="e">
        <f t="shared" si="3"/>
        <v>#DIV/0!</v>
      </c>
      <c r="BS17" s="6"/>
      <c r="BT17" s="6" t="s">
        <v>207</v>
      </c>
      <c r="BU17" s="6" t="e">
        <f>IF($F$14&gt;BX13,BX13,$F$14)</f>
        <v>#DIV/0!</v>
      </c>
      <c r="BV17" s="6"/>
      <c r="BW17" s="6"/>
      <c r="BX17" s="6"/>
      <c r="BY17" s="7" t="e">
        <f>IF($BU$17=$BX$13,BY13,INDEX(BY5:BY13,$BU$18)+ ($BU$17-$BU$19)*((INDEX(BY5:BY13,$BU$18+1)-INDEX(BY5:BY13,$BU$18))/($BU$20-$BU$19)))</f>
        <v>#DIV/0!</v>
      </c>
      <c r="BZ17" s="7" t="e">
        <f t="shared" ref="BZ17:CF17" si="4">IF($BU$17=$BX$13,BZ13,INDEX(BZ5:BZ13,$BU$18)+ ($BU$17-$BU$19)*((INDEX(BZ5:BZ13,$BU$18+1)-INDEX(BZ5:BZ13,$BU$18))/($BU$20-$BU$19)))</f>
        <v>#DIV/0!</v>
      </c>
      <c r="CA17" s="7" t="e">
        <f t="shared" si="4"/>
        <v>#DIV/0!</v>
      </c>
      <c r="CB17" s="7" t="e">
        <f t="shared" si="4"/>
        <v>#DIV/0!</v>
      </c>
      <c r="CC17" s="7" t="e">
        <f t="shared" si="4"/>
        <v>#DIV/0!</v>
      </c>
      <c r="CD17" s="7" t="e">
        <f t="shared" si="4"/>
        <v>#DIV/0!</v>
      </c>
      <c r="CE17" s="7" t="e">
        <f t="shared" si="4"/>
        <v>#DIV/0!</v>
      </c>
      <c r="CF17" s="7" t="e">
        <f t="shared" si="4"/>
        <v>#DIV/0!</v>
      </c>
      <c r="CG17" s="6"/>
      <c r="CH17" s="6" t="s">
        <v>207</v>
      </c>
      <c r="CI17" s="6" t="e">
        <f>IF($F$14&gt;CL13,CL13,$F$14)</f>
        <v>#DIV/0!</v>
      </c>
      <c r="CJ17" s="6"/>
      <c r="CK17" s="6"/>
      <c r="CL17" s="6"/>
      <c r="CM17" s="7" t="e">
        <f>IF($CI$17=$CL$13,CM13,INDEX(CM5:CM13,$CI$18)+ ($CI$17-$CI$19)*((INDEX(CM5:CM13,$CI$18+1)-INDEX(CM5:CM13,$CI$18))/($CI$20-$CI$19)))</f>
        <v>#DIV/0!</v>
      </c>
      <c r="CN17" s="7" t="e">
        <f t="shared" ref="CN17:CT17" si="5">IF($CI$17=$CL$13,CN13,INDEX(CN5:CN13,$CI$18)+ ($CI$17-$CI$19)*((INDEX(CN5:CN13,$CI$18+1)-INDEX(CN5:CN13,$CI$18))/($CI$20-$CI$19)))</f>
        <v>#DIV/0!</v>
      </c>
      <c r="CO17" s="7" t="e">
        <f t="shared" si="5"/>
        <v>#DIV/0!</v>
      </c>
      <c r="CP17" s="7" t="e">
        <f t="shared" si="5"/>
        <v>#DIV/0!</v>
      </c>
      <c r="CQ17" s="7" t="e">
        <f t="shared" si="5"/>
        <v>#DIV/0!</v>
      </c>
      <c r="CR17" s="7" t="e">
        <f t="shared" si="5"/>
        <v>#DIV/0!</v>
      </c>
      <c r="CS17" s="7" t="e">
        <f t="shared" si="5"/>
        <v>#DIV/0!</v>
      </c>
      <c r="CT17" s="7" t="e">
        <f t="shared" si="5"/>
        <v>#DIV/0!</v>
      </c>
    </row>
    <row r="18" spans="2:98" ht="15" customHeight="1">
      <c r="B18" s="39">
        <v>14</v>
      </c>
      <c r="C18" s="73" t="s">
        <v>203</v>
      </c>
      <c r="D18" s="73"/>
      <c r="E18" s="73"/>
      <c r="F18" s="41" t="e">
        <f>N7</f>
        <v>#N/A</v>
      </c>
      <c r="G18" s="40"/>
      <c r="H18" s="19"/>
      <c r="M18" s="6" t="s">
        <v>97</v>
      </c>
      <c r="N18" s="6" t="e">
        <f>MATCH(N17,T5:T13)</f>
        <v>#DIV/0!</v>
      </c>
      <c r="O18" s="6"/>
      <c r="P18" s="6"/>
      <c r="Q18" s="6"/>
      <c r="R18" s="6"/>
      <c r="S18" s="6"/>
      <c r="T18" s="6"/>
      <c r="U18" s="6"/>
      <c r="V18" s="6"/>
      <c r="W18" s="6"/>
      <c r="X18" s="6"/>
      <c r="Y18" s="6"/>
      <c r="Z18" s="6"/>
      <c r="AA18" s="6"/>
      <c r="AB18" s="6"/>
      <c r="AC18" s="6"/>
      <c r="AD18" s="6" t="s">
        <v>97</v>
      </c>
      <c r="AE18" s="6" t="e">
        <f>MATCH(AE17,AH5:AH13)</f>
        <v>#DIV/0!</v>
      </c>
      <c r="AF18" s="6"/>
      <c r="AG18" s="6"/>
      <c r="AH18" s="6"/>
      <c r="AI18" s="6"/>
      <c r="AJ18" s="6"/>
      <c r="AK18" s="6"/>
      <c r="AL18" s="6"/>
      <c r="AM18" s="6"/>
      <c r="AN18" s="6"/>
      <c r="AO18" s="6"/>
      <c r="AP18" s="6"/>
      <c r="AQ18" s="6"/>
      <c r="AR18" s="6" t="s">
        <v>97</v>
      </c>
      <c r="AS18" s="6" t="e">
        <f>MATCH(AS17,AV5:AV13)</f>
        <v>#DIV/0!</v>
      </c>
      <c r="AT18" s="6"/>
      <c r="AU18" s="6"/>
      <c r="AV18" s="6"/>
      <c r="AW18" s="6"/>
      <c r="AX18" s="6"/>
      <c r="AY18" s="6"/>
      <c r="AZ18" s="6"/>
      <c r="BA18" s="6"/>
      <c r="BB18" s="6"/>
      <c r="BC18" s="6"/>
      <c r="BD18" s="6"/>
      <c r="BE18" s="6"/>
      <c r="BF18" s="6" t="s">
        <v>97</v>
      </c>
      <c r="BG18" s="6" t="e">
        <f>MATCH(BG17,BJ5:BJ13)</f>
        <v>#DIV/0!</v>
      </c>
      <c r="BH18" s="6"/>
      <c r="BI18" s="6"/>
      <c r="BJ18" s="6"/>
      <c r="BK18" s="6"/>
      <c r="BL18" s="6"/>
      <c r="BM18" s="6"/>
      <c r="BN18" s="6"/>
      <c r="BO18" s="6"/>
      <c r="BP18" s="6"/>
      <c r="BQ18" s="6"/>
      <c r="BR18" s="6"/>
      <c r="BS18" s="6"/>
      <c r="BT18" s="6" t="s">
        <v>97</v>
      </c>
      <c r="BU18" s="6" t="e">
        <f>MATCH(BU17,BX5:BX13)</f>
        <v>#DIV/0!</v>
      </c>
      <c r="BV18" s="6"/>
      <c r="BW18" s="6"/>
      <c r="BX18" s="6"/>
      <c r="BY18" s="6"/>
      <c r="BZ18" s="6"/>
      <c r="CA18" s="6"/>
      <c r="CB18" s="6"/>
      <c r="CC18" s="6"/>
      <c r="CD18" s="6"/>
      <c r="CE18" s="6"/>
      <c r="CF18" s="6"/>
      <c r="CG18" s="6"/>
      <c r="CH18" s="6" t="s">
        <v>97</v>
      </c>
      <c r="CI18" s="6" t="e">
        <f>MATCH(CI17,CL5:CL13)</f>
        <v>#DIV/0!</v>
      </c>
      <c r="CJ18" s="6"/>
      <c r="CK18" s="6"/>
      <c r="CL18" s="6"/>
      <c r="CM18" s="6"/>
      <c r="CN18" s="6"/>
      <c r="CO18" s="6"/>
      <c r="CP18" s="6"/>
      <c r="CQ18" s="6"/>
      <c r="CR18" s="6"/>
      <c r="CS18" s="6"/>
      <c r="CT18" s="6"/>
    </row>
    <row r="19" spans="2:98">
      <c r="B19" s="39">
        <v>15</v>
      </c>
      <c r="C19" s="73" t="s">
        <v>202</v>
      </c>
      <c r="D19" s="73"/>
      <c r="E19" s="73"/>
      <c r="F19" s="40" t="e">
        <f>ROUND(F5*(F9/12)*F18,0)</f>
        <v>#N/A</v>
      </c>
      <c r="G19" s="40" t="s">
        <v>8</v>
      </c>
      <c r="H19" s="19"/>
      <c r="M19" s="6" t="s">
        <v>99</v>
      </c>
      <c r="N19" s="7" t="e">
        <f>INDEX(T5:T13,N18)</f>
        <v>#DIV/0!</v>
      </c>
      <c r="O19" s="6"/>
      <c r="P19" s="6"/>
      <c r="Q19" s="6"/>
      <c r="R19" s="6"/>
      <c r="S19" s="6"/>
      <c r="T19" s="6"/>
      <c r="U19" s="6"/>
      <c r="V19" s="6"/>
      <c r="W19" s="6"/>
      <c r="X19" s="6"/>
      <c r="Y19" s="6"/>
      <c r="Z19" s="6"/>
      <c r="AA19" s="6"/>
      <c r="AB19" s="6"/>
      <c r="AC19" s="6"/>
      <c r="AD19" s="6" t="s">
        <v>99</v>
      </c>
      <c r="AE19" s="7" t="e">
        <f>INDEX(AH5:AH13,AE18)</f>
        <v>#DIV/0!</v>
      </c>
      <c r="AF19" s="6"/>
      <c r="AG19" s="6"/>
      <c r="AH19" s="6"/>
      <c r="AI19" s="6"/>
      <c r="AJ19" s="6"/>
      <c r="AK19" s="6"/>
      <c r="AL19" s="6"/>
      <c r="AM19" s="6"/>
      <c r="AN19" s="6"/>
      <c r="AO19" s="6"/>
      <c r="AP19" s="6"/>
      <c r="AQ19" s="6"/>
      <c r="AR19" s="6" t="s">
        <v>99</v>
      </c>
      <c r="AS19" s="7" t="e">
        <f>INDEX(AV5:AV13,AS18)</f>
        <v>#DIV/0!</v>
      </c>
      <c r="AT19" s="6"/>
      <c r="AU19" s="6"/>
      <c r="AV19" s="6"/>
      <c r="AW19" s="6"/>
      <c r="AX19" s="6"/>
      <c r="AY19" s="6"/>
      <c r="AZ19" s="6"/>
      <c r="BA19" s="6"/>
      <c r="BB19" s="6"/>
      <c r="BC19" s="6"/>
      <c r="BD19" s="6"/>
      <c r="BE19" s="6"/>
      <c r="BF19" s="6" t="s">
        <v>99</v>
      </c>
      <c r="BG19" s="7" t="e">
        <f>INDEX(BJ5:BJ13,BG18)</f>
        <v>#DIV/0!</v>
      </c>
      <c r="BH19" s="6"/>
      <c r="BI19" s="6"/>
      <c r="BJ19" s="6"/>
      <c r="BK19" s="6"/>
      <c r="BL19" s="6"/>
      <c r="BM19" s="6"/>
      <c r="BN19" s="6"/>
      <c r="BO19" s="6"/>
      <c r="BP19" s="6"/>
      <c r="BQ19" s="6"/>
      <c r="BR19" s="6"/>
      <c r="BS19" s="6"/>
      <c r="BT19" s="6" t="s">
        <v>99</v>
      </c>
      <c r="BU19" s="7" t="e">
        <f>INDEX(BX5:BX13,BU18)</f>
        <v>#DIV/0!</v>
      </c>
      <c r="BV19" s="6"/>
      <c r="BW19" s="6"/>
      <c r="BX19" s="6"/>
      <c r="BY19" s="6"/>
      <c r="BZ19" s="6"/>
      <c r="CA19" s="6"/>
      <c r="CB19" s="6"/>
      <c r="CC19" s="6"/>
      <c r="CD19" s="6"/>
      <c r="CE19" s="6"/>
      <c r="CF19" s="6"/>
      <c r="CG19" s="6"/>
      <c r="CH19" s="6" t="s">
        <v>99</v>
      </c>
      <c r="CI19" s="7" t="e">
        <f>INDEX(CL5:CL13,CI18)</f>
        <v>#DIV/0!</v>
      </c>
      <c r="CJ19" s="6"/>
      <c r="CK19" s="6"/>
      <c r="CL19" s="6"/>
      <c r="CM19" s="6"/>
      <c r="CN19" s="6"/>
      <c r="CO19" s="6"/>
      <c r="CP19" s="6"/>
      <c r="CQ19" s="6"/>
      <c r="CR19" s="6"/>
      <c r="CS19" s="6"/>
      <c r="CT19" s="6"/>
    </row>
    <row r="20" spans="2:98">
      <c r="H20" s="19"/>
      <c r="M20" s="6" t="s">
        <v>100</v>
      </c>
      <c r="N20" s="7" t="e">
        <f>INDEX(T5:T13,N18+1)</f>
        <v>#DIV/0!</v>
      </c>
      <c r="O20" s="6"/>
      <c r="P20" s="6"/>
      <c r="Q20" s="6"/>
      <c r="R20" s="6"/>
      <c r="S20" s="6"/>
      <c r="T20" s="6"/>
      <c r="U20" s="6"/>
      <c r="V20" s="6"/>
      <c r="W20" s="6"/>
      <c r="X20" s="6"/>
      <c r="Y20" s="6"/>
      <c r="Z20" s="6"/>
      <c r="AA20" s="6"/>
      <c r="AB20" s="6"/>
      <c r="AC20" s="6"/>
      <c r="AD20" s="6" t="s">
        <v>100</v>
      </c>
      <c r="AE20" s="7" t="e">
        <f>INDEX(AH5:AH13,AE18+1)</f>
        <v>#DIV/0!</v>
      </c>
      <c r="AF20" s="6"/>
      <c r="AG20" s="6"/>
      <c r="AH20" s="6"/>
      <c r="AI20" s="6"/>
      <c r="AJ20" s="6"/>
      <c r="AK20" s="6"/>
      <c r="AL20" s="6"/>
      <c r="AM20" s="6"/>
      <c r="AN20" s="6"/>
      <c r="AO20" s="6"/>
      <c r="AP20" s="6"/>
      <c r="AQ20" s="6"/>
      <c r="AR20" s="6" t="s">
        <v>100</v>
      </c>
      <c r="AS20" s="7" t="e">
        <f>INDEX(AV5:AV13,AS18+1)</f>
        <v>#DIV/0!</v>
      </c>
      <c r="AT20" s="6"/>
      <c r="AU20" s="6"/>
      <c r="AV20" s="6"/>
      <c r="AW20" s="6"/>
      <c r="AX20" s="6"/>
      <c r="AY20" s="6"/>
      <c r="AZ20" s="6"/>
      <c r="BA20" s="6"/>
      <c r="BB20" s="6"/>
      <c r="BC20" s="6"/>
      <c r="BD20" s="6"/>
      <c r="BE20" s="6"/>
      <c r="BF20" s="6" t="s">
        <v>100</v>
      </c>
      <c r="BG20" s="7" t="e">
        <f>INDEX(BJ5:BJ13,BG18+1)</f>
        <v>#DIV/0!</v>
      </c>
      <c r="BH20" s="6"/>
      <c r="BI20" s="6"/>
      <c r="BJ20" s="6"/>
      <c r="BK20" s="6"/>
      <c r="BL20" s="6"/>
      <c r="BM20" s="6"/>
      <c r="BN20" s="6"/>
      <c r="BO20" s="6"/>
      <c r="BP20" s="6"/>
      <c r="BQ20" s="6"/>
      <c r="BR20" s="6"/>
      <c r="BS20" s="6"/>
      <c r="BT20" s="6" t="s">
        <v>100</v>
      </c>
      <c r="BU20" s="7" t="e">
        <f>INDEX(BX5:BX13,BU18+1)</f>
        <v>#DIV/0!</v>
      </c>
      <c r="BV20" s="6"/>
      <c r="BW20" s="6"/>
      <c r="BX20" s="6"/>
      <c r="BY20" s="6"/>
      <c r="BZ20" s="6"/>
      <c r="CA20" s="6"/>
      <c r="CB20" s="6"/>
      <c r="CC20" s="6"/>
      <c r="CD20" s="6"/>
      <c r="CE20" s="6"/>
      <c r="CF20" s="6"/>
      <c r="CG20" s="6"/>
      <c r="CH20" s="6" t="s">
        <v>100</v>
      </c>
      <c r="CI20" s="7" t="e">
        <f>INDEX(CL5:CL13,CI18+1)</f>
        <v>#DIV/0!</v>
      </c>
      <c r="CJ20" s="6"/>
      <c r="CK20" s="6"/>
      <c r="CL20" s="6"/>
      <c r="CM20" s="6"/>
      <c r="CN20" s="6"/>
      <c r="CO20" s="6"/>
      <c r="CP20" s="6"/>
      <c r="CQ20" s="6"/>
      <c r="CR20" s="6"/>
      <c r="CS20" s="6"/>
      <c r="CT20" s="6"/>
    </row>
    <row r="21" spans="2:98">
      <c r="H21" s="19"/>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row>
    <row r="22" spans="2:98">
      <c r="H22" s="19"/>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row>
    <row r="23" spans="2:98">
      <c r="H23" s="19"/>
      <c r="M23" s="6"/>
      <c r="N23" s="6"/>
      <c r="O23" s="6"/>
      <c r="P23" s="6"/>
      <c r="Q23" s="6"/>
      <c r="R23" s="6"/>
      <c r="S23" s="6">
        <v>3</v>
      </c>
      <c r="T23" s="6">
        <v>6</v>
      </c>
      <c r="U23" s="6">
        <v>9</v>
      </c>
      <c r="V23" s="6">
        <v>12</v>
      </c>
      <c r="W23" s="6">
        <v>15</v>
      </c>
      <c r="X23" s="6">
        <v>18</v>
      </c>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row>
    <row r="24" spans="2:98">
      <c r="H24" s="19"/>
      <c r="M24" s="6"/>
      <c r="N24" s="6"/>
      <c r="O24" s="6"/>
      <c r="P24" s="6"/>
      <c r="Q24" s="6"/>
      <c r="R24" s="6">
        <v>9.9999999999999995E-7</v>
      </c>
      <c r="S24" s="7" t="e">
        <f>U17</f>
        <v>#DIV/0!</v>
      </c>
      <c r="T24" s="7" t="e">
        <f>AI17</f>
        <v>#DIV/0!</v>
      </c>
      <c r="U24" s="7" t="e">
        <f>AW17</f>
        <v>#DIV/0!</v>
      </c>
      <c r="V24" s="7" t="e">
        <f>BK17</f>
        <v>#DIV/0!</v>
      </c>
      <c r="W24" s="7" t="e">
        <f>BY17</f>
        <v>#DIV/0!</v>
      </c>
      <c r="X24" s="7" t="e">
        <f>CM17</f>
        <v>#DIV/0!</v>
      </c>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row>
    <row r="25" spans="2:98">
      <c r="H25" s="19"/>
      <c r="M25" s="6"/>
      <c r="N25" s="6"/>
      <c r="O25" s="6"/>
      <c r="P25" s="6"/>
      <c r="Q25" s="6"/>
      <c r="R25" s="6">
        <v>1.8749999999999999E-2</v>
      </c>
      <c r="S25" s="7" t="e">
        <f>V17</f>
        <v>#DIV/0!</v>
      </c>
      <c r="T25" s="7" t="e">
        <f>AJ17</f>
        <v>#DIV/0!</v>
      </c>
      <c r="U25" s="7" t="e">
        <f>AX17</f>
        <v>#DIV/0!</v>
      </c>
      <c r="V25" s="7" t="e">
        <f>BL17</f>
        <v>#DIV/0!</v>
      </c>
      <c r="W25" s="7" t="e">
        <f>BZ17</f>
        <v>#DIV/0!</v>
      </c>
      <c r="X25" s="7" t="e">
        <f>CN17</f>
        <v>#DIV/0!</v>
      </c>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row>
    <row r="26" spans="2:98">
      <c r="H26" s="19"/>
      <c r="M26" s="6" t="s">
        <v>111</v>
      </c>
      <c r="N26" s="6">
        <f>IF(F17&lt;R24,R24,IF(F17&gt;R31,R31,F17))</f>
        <v>9.9999999999999995E-7</v>
      </c>
      <c r="O26" s="6"/>
      <c r="P26" s="6"/>
      <c r="Q26" s="6"/>
      <c r="R26" s="6">
        <v>2.5000000000000001E-2</v>
      </c>
      <c r="S26" s="7" t="e">
        <f>W17</f>
        <v>#DIV/0!</v>
      </c>
      <c r="T26" s="7" t="e">
        <f>AK17</f>
        <v>#DIV/0!</v>
      </c>
      <c r="U26" s="7" t="e">
        <f>AY17</f>
        <v>#DIV/0!</v>
      </c>
      <c r="V26" s="7" t="e">
        <f>BM17</f>
        <v>#DIV/0!</v>
      </c>
      <c r="W26" s="7" t="e">
        <f>CA17</f>
        <v>#DIV/0!</v>
      </c>
      <c r="X26" s="7" t="e">
        <f>CO17</f>
        <v>#DIV/0!</v>
      </c>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row>
    <row r="27" spans="2:98">
      <c r="H27" s="19"/>
      <c r="M27" s="6" t="s">
        <v>97</v>
      </c>
      <c r="N27" s="6">
        <f>MATCH(N26,R24:R31)</f>
        <v>1</v>
      </c>
      <c r="O27" s="6"/>
      <c r="P27" s="6"/>
      <c r="Q27" s="6"/>
      <c r="R27" s="6">
        <v>7.4999999999999997E-2</v>
      </c>
      <c r="S27" s="7" t="e">
        <f>X17</f>
        <v>#DIV/0!</v>
      </c>
      <c r="T27" s="7" t="e">
        <f>AL17</f>
        <v>#DIV/0!</v>
      </c>
      <c r="U27" s="7" t="e">
        <f>AZ17</f>
        <v>#DIV/0!</v>
      </c>
      <c r="V27" s="7" t="e">
        <f>BN17</f>
        <v>#DIV/0!</v>
      </c>
      <c r="W27" s="7" t="e">
        <f>CB17</f>
        <v>#DIV/0!</v>
      </c>
      <c r="X27" s="7" t="e">
        <f>CP17</f>
        <v>#DIV/0!</v>
      </c>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row>
    <row r="28" spans="2:98">
      <c r="M28" s="6" t="s">
        <v>99</v>
      </c>
      <c r="N28" s="6">
        <f>INDEX(R24:R31,N27)</f>
        <v>9.9999999999999995E-7</v>
      </c>
      <c r="O28" s="6"/>
      <c r="P28" s="6"/>
      <c r="Q28" s="6"/>
      <c r="R28" s="6">
        <v>0.1</v>
      </c>
      <c r="S28" s="7" t="e">
        <f>Y17</f>
        <v>#DIV/0!</v>
      </c>
      <c r="T28" s="7" t="e">
        <f>AM17</f>
        <v>#DIV/0!</v>
      </c>
      <c r="U28" s="7" t="e">
        <f>BA17</f>
        <v>#DIV/0!</v>
      </c>
      <c r="V28" s="7" t="e">
        <f>BO17</f>
        <v>#DIV/0!</v>
      </c>
      <c r="W28" s="7" t="e">
        <f>CC17</f>
        <v>#DIV/0!</v>
      </c>
      <c r="X28" s="7" t="e">
        <f>CQ17</f>
        <v>#DIV/0!</v>
      </c>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row>
    <row r="29" spans="2:98">
      <c r="M29" s="6" t="s">
        <v>100</v>
      </c>
      <c r="N29" s="6">
        <f>INDEX(R24:R31,N27+1)</f>
        <v>1.8749999999999999E-2</v>
      </c>
      <c r="O29" s="6"/>
      <c r="P29" s="6"/>
      <c r="Q29" s="6"/>
      <c r="R29" s="6">
        <v>0.2</v>
      </c>
      <c r="S29" s="7" t="e">
        <f>Z17</f>
        <v>#DIV/0!</v>
      </c>
      <c r="T29" s="7" t="e">
        <f>AN17</f>
        <v>#DIV/0!</v>
      </c>
      <c r="U29" s="7" t="e">
        <f>BB17</f>
        <v>#DIV/0!</v>
      </c>
      <c r="V29" s="7" t="e">
        <f>BP17</f>
        <v>#DIV/0!</v>
      </c>
      <c r="W29" s="7" t="e">
        <f>CD17</f>
        <v>#DIV/0!</v>
      </c>
      <c r="X29" s="7" t="e">
        <f>CR17</f>
        <v>#DIV/0!</v>
      </c>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row>
    <row r="30" spans="2:98">
      <c r="M30" s="6"/>
      <c r="N30" s="6"/>
      <c r="O30" s="6"/>
      <c r="P30" s="6"/>
      <c r="Q30" s="6"/>
      <c r="R30" s="6">
        <v>0.3</v>
      </c>
      <c r="S30" s="7" t="e">
        <f>AA17</f>
        <v>#DIV/0!</v>
      </c>
      <c r="T30" s="7" t="e">
        <f>AO17</f>
        <v>#DIV/0!</v>
      </c>
      <c r="U30" s="7" t="e">
        <f>BC17</f>
        <v>#DIV/0!</v>
      </c>
      <c r="V30" s="7" t="e">
        <f>BQ17</f>
        <v>#DIV/0!</v>
      </c>
      <c r="W30" s="7" t="e">
        <f>CE17</f>
        <v>#DIV/0!</v>
      </c>
      <c r="X30" s="7" t="e">
        <f>CS17</f>
        <v>#DIV/0!</v>
      </c>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row>
    <row r="31" spans="2:98">
      <c r="M31" s="6"/>
      <c r="N31" s="6"/>
      <c r="O31" s="6"/>
      <c r="P31" s="6"/>
      <c r="Q31" s="6"/>
      <c r="R31" s="6">
        <v>0.5</v>
      </c>
      <c r="S31" s="7" t="e">
        <f>AB17</f>
        <v>#DIV/0!</v>
      </c>
      <c r="T31" s="7" t="e">
        <f>AP17</f>
        <v>#DIV/0!</v>
      </c>
      <c r="U31" s="7" t="e">
        <f>BD17</f>
        <v>#DIV/0!</v>
      </c>
      <c r="V31" s="7" t="e">
        <f>BR17</f>
        <v>#DIV/0!</v>
      </c>
      <c r="W31" s="7" t="e">
        <f>CF17</f>
        <v>#DIV/0!</v>
      </c>
      <c r="X31" s="7" t="e">
        <f>CT17</f>
        <v>#DIV/0!</v>
      </c>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row>
    <row r="32" spans="2:98">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row>
    <row r="33" spans="13:98">
      <c r="M33" s="6"/>
      <c r="N33" s="6"/>
      <c r="O33" s="6"/>
      <c r="P33" s="6"/>
      <c r="Q33" s="6"/>
      <c r="R33" s="6" t="s">
        <v>98</v>
      </c>
      <c r="S33" s="7" t="e">
        <f>IF($N$26=$R$24,S24, IF($N$26=$R$31,S31, INDEX(S24:S31,$N$27)+($N$26-$N$28)*(INDEX(S24:S31,$N$27+1)-INDEX(S24:S31,$N$27))/($N$29-$N$28)))</f>
        <v>#DIV/0!</v>
      </c>
      <c r="T33" s="7" t="e">
        <f t="shared" ref="T33:X33" si="6">IF($N$26=$R$24,T24, IF($N$26=$R$31,T31, INDEX(T24:T31,$N$27)+($N$26-$N$28)*(INDEX(T24:T31,$N$27+1)-INDEX(T24:T31,$N$27))/($N$29-$N$28)))</f>
        <v>#DIV/0!</v>
      </c>
      <c r="U33" s="7" t="e">
        <f t="shared" si="6"/>
        <v>#DIV/0!</v>
      </c>
      <c r="V33" s="7" t="e">
        <f t="shared" si="6"/>
        <v>#DIV/0!</v>
      </c>
      <c r="W33" s="7" t="e">
        <f t="shared" si="6"/>
        <v>#DIV/0!</v>
      </c>
      <c r="X33" s="7" t="e">
        <f t="shared" si="6"/>
        <v>#DIV/0!</v>
      </c>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row>
    <row r="34" spans="13:98">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row>
    <row r="35" spans="13:98">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row>
    <row r="36" spans="13:98">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row>
    <row r="37" spans="13:98">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row>
    <row r="38" spans="13:98">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row>
    <row r="39" spans="13:98">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row>
    <row r="40" spans="13:98">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row>
    <row r="41" spans="13:98">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row>
    <row r="42" spans="13:98">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row>
    <row r="43" spans="13:98">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row>
    <row r="44" spans="13:98">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row>
    <row r="45" spans="13:98">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row>
    <row r="46" spans="13:98">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row>
    <row r="47" spans="13:98">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row>
    <row r="48" spans="13:98">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row>
  </sheetData>
  <sortState ref="T5:AB13">
    <sortCondition ref="T5:T13"/>
  </sortState>
  <mergeCells count="21">
    <mergeCell ref="C18:E18"/>
    <mergeCell ref="C19:E19"/>
    <mergeCell ref="C13:E13"/>
    <mergeCell ref="C14:E14"/>
    <mergeCell ref="C15:E15"/>
    <mergeCell ref="C16:E16"/>
    <mergeCell ref="C17:E17"/>
    <mergeCell ref="M15:CT15"/>
    <mergeCell ref="B2:C3"/>
    <mergeCell ref="C5:E5"/>
    <mergeCell ref="C6:E6"/>
    <mergeCell ref="C7:E7"/>
    <mergeCell ref="C8:E8"/>
    <mergeCell ref="E3:G3"/>
    <mergeCell ref="E2:G2"/>
    <mergeCell ref="B4:D4"/>
    <mergeCell ref="E4:G4"/>
    <mergeCell ref="C9:E9"/>
    <mergeCell ref="C10:E10"/>
    <mergeCell ref="C11:E11"/>
    <mergeCell ref="C12:E12"/>
  </mergeCells>
  <dataValidations count="1">
    <dataValidation type="list" allowBlank="1" showInputMessage="1" showErrorMessage="1" sqref="F11">
      <formula1>$P$4:$P$9</formula1>
    </dataValidation>
  </dataValidations>
  <pageMargins left="0.7" right="0.7" top="0.75" bottom="0.75" header="0.3" footer="0.3"/>
  <pageSetup scale="94" orientation="landscape" verticalDpi="1200" r:id="rId1"/>
  <headerFooter>
    <oddFooter>&amp;L&amp;D&amp;RVersion 1.0 - June 2017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Readme</vt:lpstr>
      <vt:lpstr>Worksheet B.5-1</vt:lpstr>
      <vt:lpstr>Worksheet B.5-2</vt:lpstr>
      <vt:lpstr>Worksheet B.5-3</vt:lpstr>
      <vt:lpstr>Worksheet B.5-4</vt:lpstr>
      <vt:lpstr>Worksheet B.5-5</vt:lpstr>
      <vt:lpstr>Worksheet B.5-6</vt:lpstr>
      <vt:lpstr>Worksheet B.5-7</vt:lpstr>
      <vt:lpstr>Readme!Print_Area</vt:lpstr>
      <vt:lpstr>'Worksheet B.5-1'!Print_Area</vt:lpstr>
      <vt:lpstr>'Worksheet B.5-2'!Print_Area</vt:lpstr>
      <vt:lpstr>'Worksheet B.5-3'!Print_Area</vt:lpstr>
      <vt:lpstr>'Worksheet B.5-4'!Print_Area</vt:lpstr>
      <vt:lpstr>'Worksheet B.5-5'!Print_Area</vt:lpstr>
      <vt:lpstr>'Worksheet B.5-6'!Print_Area</vt:lpstr>
      <vt:lpstr>'Worksheet B.5-7'!Print_Area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Venkat Gummadi</dc:creator>
  <cp:lastModifiedBy>Juan Magdaraog</cp:lastModifiedBy>
  <cp:lastPrinted>2017-06-15T06:33:05Z</cp:lastPrinted>
  <dcterms:created xsi:type="dcterms:W3CDTF">2016-06-13T08:23:18Z</dcterms:created>
  <dcterms:modified xsi:type="dcterms:W3CDTF">2019-09-12T19:02:19Z</dcterms:modified>
</cp:coreProperties>
</file>